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5" windowWidth="14400" windowHeight="12495" activeTab="2"/>
  </bookViews>
  <sheets>
    <sheet name="P. ACCION AGOSTO" sheetId="1" r:id="rId1"/>
    <sheet name="P. ACCION AGOSTO (2)" sheetId="3" r:id="rId2"/>
    <sheet name="P. ACCION AGOSTO CONSOLIDADO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Titles" localSheetId="0">'P. ACCION AGOSTO'!$C:$F,'P. ACCION AGOSTO'!$1:$3</definedName>
    <definedName name="_xlnm.Print_Titles" localSheetId="1">'P. ACCION AGOSTO (2)'!$C:$F,'P. ACCION AGOSTO (2)'!$1:$3</definedName>
    <definedName name="_xlnm.Print_Titles" localSheetId="2">'P. ACCION AGOSTO CONSOLIDADO'!$C:$F,'P. ACCION AGOSTO CONSOLIDADO'!$1:$3</definedName>
  </definedNames>
  <calcPr calcId="144525"/>
</workbook>
</file>

<file path=xl/calcChain.xml><?xml version="1.0" encoding="utf-8"?>
<calcChain xmlns="http://schemas.openxmlformats.org/spreadsheetml/2006/main">
  <c r="DM140" i="4" l="1"/>
  <c r="DM138" i="4"/>
  <c r="DM137" i="4"/>
  <c r="DM133" i="4"/>
  <c r="DM139" i="4"/>
  <c r="DM136" i="4"/>
  <c r="DM135" i="4"/>
  <c r="DM134" i="4"/>
  <c r="DM141" i="4" s="1"/>
  <c r="DO124" i="4"/>
  <c r="DO99" i="4"/>
  <c r="DO85" i="4"/>
  <c r="DO84" i="4"/>
  <c r="DO82" i="4"/>
  <c r="DO79" i="4"/>
  <c r="DO76" i="4"/>
  <c r="DO75" i="4"/>
  <c r="DO74" i="4"/>
  <c r="DO71" i="4"/>
  <c r="DO69" i="4"/>
  <c r="DO67" i="4"/>
  <c r="DN124" i="4"/>
  <c r="DN99" i="4"/>
  <c r="DN85" i="4"/>
  <c r="DN84" i="4"/>
  <c r="DN82" i="4"/>
  <c r="DN79" i="4"/>
  <c r="DN76" i="4"/>
  <c r="DN75" i="4"/>
  <c r="DN74" i="4"/>
  <c r="DN71" i="4"/>
  <c r="DN69" i="4"/>
  <c r="DN67" i="4"/>
  <c r="DN26" i="4"/>
  <c r="DN40" i="4"/>
  <c r="DN46" i="4"/>
  <c r="DN55" i="4"/>
  <c r="DM21" i="4"/>
  <c r="DM22" i="4"/>
  <c r="DM23" i="4"/>
  <c r="DM24" i="4"/>
  <c r="DM25" i="4"/>
  <c r="DM26" i="4"/>
  <c r="DM27" i="4"/>
  <c r="DM28" i="4"/>
  <c r="DM29" i="4"/>
  <c r="DM30" i="4"/>
  <c r="DM31" i="4"/>
  <c r="DM32" i="4"/>
  <c r="DM33" i="4"/>
  <c r="DM34" i="4"/>
  <c r="DM35" i="4"/>
  <c r="DM36" i="4"/>
  <c r="DM37" i="4"/>
  <c r="DM38" i="4"/>
  <c r="DM39" i="4"/>
  <c r="DM40" i="4"/>
  <c r="DM41" i="4"/>
  <c r="DM42" i="4"/>
  <c r="DM43" i="4"/>
  <c r="DM44" i="4"/>
  <c r="DM45" i="4"/>
  <c r="DM46" i="4"/>
  <c r="DM47" i="4"/>
  <c r="DM48" i="4"/>
  <c r="DM49" i="4"/>
  <c r="DM50" i="4"/>
  <c r="DM51" i="4"/>
  <c r="DM52" i="4"/>
  <c r="DM53" i="4"/>
  <c r="DM54" i="4"/>
  <c r="DM55" i="4"/>
  <c r="DM56" i="4"/>
  <c r="DM57" i="4"/>
  <c r="DM58" i="4"/>
  <c r="DM59" i="4"/>
  <c r="DM60" i="4"/>
  <c r="DM61" i="4"/>
  <c r="DM62" i="4"/>
  <c r="DM63" i="4"/>
  <c r="DM64" i="4"/>
  <c r="DM65" i="4"/>
  <c r="DM66" i="4"/>
  <c r="DM67" i="4"/>
  <c r="DM68" i="4"/>
  <c r="DM69" i="4"/>
  <c r="DM70" i="4"/>
  <c r="DM71" i="4"/>
  <c r="DM72" i="4"/>
  <c r="DM73" i="4"/>
  <c r="DM74" i="4"/>
  <c r="DM75" i="4"/>
  <c r="DM76" i="4"/>
  <c r="DM77" i="4"/>
  <c r="DM78" i="4"/>
  <c r="DM79" i="4"/>
  <c r="DM80" i="4"/>
  <c r="DM81" i="4"/>
  <c r="DM82" i="4"/>
  <c r="DM83" i="4"/>
  <c r="DM84" i="4"/>
  <c r="DM85" i="4"/>
  <c r="DM86" i="4"/>
  <c r="DM87" i="4"/>
  <c r="DM88" i="4"/>
  <c r="DM89" i="4"/>
  <c r="DM90" i="4"/>
  <c r="DM91" i="4"/>
  <c r="DM93" i="4"/>
  <c r="DM94" i="4"/>
  <c r="DM95" i="4"/>
  <c r="DM96" i="4"/>
  <c r="DM97" i="4"/>
  <c r="DM98" i="4"/>
  <c r="DM99" i="4"/>
  <c r="DM100" i="4"/>
  <c r="DM101" i="4"/>
  <c r="DM102" i="4"/>
  <c r="DM103" i="4"/>
  <c r="DM104" i="4"/>
  <c r="DM105" i="4"/>
  <c r="DM106" i="4"/>
  <c r="DM107" i="4"/>
  <c r="DM108" i="4"/>
  <c r="DM109" i="4"/>
  <c r="DM110" i="4"/>
  <c r="DM111" i="4"/>
  <c r="DM112" i="4"/>
  <c r="DM113" i="4"/>
  <c r="DM114" i="4"/>
  <c r="DM115" i="4"/>
  <c r="DM116" i="4"/>
  <c r="DM117" i="4"/>
  <c r="DM118" i="4"/>
  <c r="DM119" i="4"/>
  <c r="DM120" i="4"/>
  <c r="DM121" i="4"/>
  <c r="DM122" i="4"/>
  <c r="DM123" i="4"/>
  <c r="DM124" i="4"/>
  <c r="DM125" i="4"/>
  <c r="DM126" i="4"/>
  <c r="DM127" i="4"/>
  <c r="DM128" i="4"/>
  <c r="DM20" i="4"/>
  <c r="DM130" i="4"/>
  <c r="G151" i="4"/>
  <c r="AD151" i="4"/>
  <c r="AC151" i="4" l="1"/>
  <c r="DF140" i="4" l="1"/>
  <c r="CM140" i="4"/>
  <c r="CL140" i="4"/>
  <c r="CK140" i="4"/>
  <c r="CH140" i="4"/>
  <c r="CG140" i="4"/>
  <c r="CF140" i="4"/>
  <c r="CE140" i="4"/>
  <c r="CD140" i="4"/>
  <c r="CC140" i="4"/>
  <c r="CB140" i="4"/>
  <c r="CA140" i="4"/>
  <c r="BZ140" i="4"/>
  <c r="BY140" i="4"/>
  <c r="BX140" i="4"/>
  <c r="BW140" i="4"/>
  <c r="BU140" i="4"/>
  <c r="BP140" i="4"/>
  <c r="AV140" i="4"/>
  <c r="AU140" i="4"/>
  <c r="AT140" i="4"/>
  <c r="AQ140" i="4"/>
  <c r="AP140" i="4"/>
  <c r="AO140" i="4"/>
  <c r="AN140" i="4"/>
  <c r="AM140" i="4"/>
  <c r="AL140" i="4"/>
  <c r="AK140" i="4"/>
  <c r="AJ140" i="4"/>
  <c r="AI140" i="4"/>
  <c r="AG140" i="4"/>
  <c r="AD140" i="4"/>
  <c r="Y140" i="4"/>
  <c r="X140" i="4"/>
  <c r="T140" i="4"/>
  <c r="S140" i="4"/>
  <c r="R140" i="4"/>
  <c r="Q140" i="4"/>
  <c r="P140" i="4"/>
  <c r="O140" i="4"/>
  <c r="N140" i="4"/>
  <c r="M140" i="4"/>
  <c r="L140" i="4"/>
  <c r="K140" i="4"/>
  <c r="J140" i="4"/>
  <c r="H140" i="4"/>
  <c r="AA139" i="4"/>
  <c r="AA141" i="4" s="1"/>
  <c r="DF138" i="4"/>
  <c r="CK138" i="4"/>
  <c r="AT138" i="4"/>
  <c r="Z138" i="4"/>
  <c r="X138" i="4"/>
  <c r="DF137" i="4"/>
  <c r="CM137" i="4"/>
  <c r="CL137" i="4"/>
  <c r="CK137" i="4"/>
  <c r="CJ137" i="4"/>
  <c r="CI137" i="4"/>
  <c r="CH137" i="4"/>
  <c r="CE137" i="4"/>
  <c r="CD137" i="4"/>
  <c r="CC137" i="4"/>
  <c r="CB137" i="4"/>
  <c r="CA137" i="4"/>
  <c r="BX137" i="4"/>
  <c r="BW137" i="4"/>
  <c r="BV137" i="4"/>
  <c r="BU137" i="4"/>
  <c r="AV137" i="4"/>
  <c r="AU137" i="4"/>
  <c r="AT137" i="4"/>
  <c r="AS137" i="4"/>
  <c r="AR137" i="4"/>
  <c r="AQ137" i="4"/>
  <c r="AN137" i="4"/>
  <c r="AM137" i="4"/>
  <c r="AL137" i="4"/>
  <c r="AK137" i="4"/>
  <c r="AJ137" i="4"/>
  <c r="AG137" i="4"/>
  <c r="AF137" i="4"/>
  <c r="AE137" i="4"/>
  <c r="AD137" i="4"/>
  <c r="Y137" i="4"/>
  <c r="X137" i="4"/>
  <c r="V137" i="4"/>
  <c r="U137" i="4"/>
  <c r="T137" i="4"/>
  <c r="Q137" i="4"/>
  <c r="P137" i="4"/>
  <c r="O137" i="4"/>
  <c r="N137" i="4"/>
  <c r="M137" i="4"/>
  <c r="J137" i="4"/>
  <c r="I137" i="4"/>
  <c r="H137" i="4"/>
  <c r="DF136" i="4"/>
  <c r="CM136" i="4"/>
  <c r="CL136" i="4"/>
  <c r="CK136" i="4"/>
  <c r="CJ136" i="4"/>
  <c r="CI136" i="4"/>
  <c r="CF136" i="4"/>
  <c r="CE136" i="4"/>
  <c r="CD136" i="4"/>
  <c r="CC136" i="4"/>
  <c r="CB136" i="4"/>
  <c r="CA136" i="4"/>
  <c r="BX136" i="4"/>
  <c r="BW136" i="4"/>
  <c r="BV136" i="4"/>
  <c r="BU136" i="4"/>
  <c r="AV136" i="4"/>
  <c r="AU136" i="4"/>
  <c r="AT136" i="4"/>
  <c r="AS136" i="4"/>
  <c r="AR136" i="4"/>
  <c r="AO136" i="4"/>
  <c r="AN136" i="4"/>
  <c r="AM136" i="4"/>
  <c r="AL136" i="4"/>
  <c r="AK136" i="4"/>
  <c r="AJ136" i="4"/>
  <c r="AG136" i="4"/>
  <c r="AF136" i="4"/>
  <c r="AE136" i="4"/>
  <c r="AD136" i="4"/>
  <c r="Y136" i="4"/>
  <c r="X136" i="4"/>
  <c r="V136" i="4"/>
  <c r="U136" i="4"/>
  <c r="T136" i="4"/>
  <c r="S136" i="4"/>
  <c r="R136" i="4"/>
  <c r="Q136" i="4"/>
  <c r="P136" i="4"/>
  <c r="O136" i="4"/>
  <c r="N136" i="4"/>
  <c r="M136" i="4"/>
  <c r="L136" i="4"/>
  <c r="J136" i="4"/>
  <c r="H136" i="4"/>
  <c r="CL135" i="4"/>
  <c r="CK135" i="4"/>
  <c r="CJ135" i="4"/>
  <c r="CH135" i="4"/>
  <c r="CE135" i="4"/>
  <c r="CD135" i="4"/>
  <c r="CC135" i="4"/>
  <c r="CB135" i="4"/>
  <c r="CA135" i="4"/>
  <c r="BZ135" i="4"/>
  <c r="BY135" i="4"/>
  <c r="BX135" i="4"/>
  <c r="BV135" i="4"/>
  <c r="BU135" i="4"/>
  <c r="AU135" i="4"/>
  <c r="AS135" i="4"/>
  <c r="AQ135" i="4"/>
  <c r="AN135" i="4"/>
  <c r="AM135" i="4"/>
  <c r="AL135" i="4"/>
  <c r="AK135" i="4"/>
  <c r="AJ135" i="4"/>
  <c r="AH135" i="4"/>
  <c r="AG135" i="4"/>
  <c r="AE135" i="4"/>
  <c r="AD135" i="4"/>
  <c r="X135" i="4"/>
  <c r="V135" i="4"/>
  <c r="T135" i="4"/>
  <c r="S135" i="4"/>
  <c r="Q135" i="4"/>
  <c r="P135" i="4"/>
  <c r="O135" i="4"/>
  <c r="N135" i="4"/>
  <c r="M135" i="4"/>
  <c r="K135" i="4"/>
  <c r="J135" i="4"/>
  <c r="H135" i="4"/>
  <c r="DF134" i="4"/>
  <c r="CM134" i="4"/>
  <c r="CL134" i="4"/>
  <c r="CK134" i="4"/>
  <c r="CJ134" i="4"/>
  <c r="CI134" i="4"/>
  <c r="CH134" i="4"/>
  <c r="CG134" i="4"/>
  <c r="CF134" i="4"/>
  <c r="CE134" i="4"/>
  <c r="CD134" i="4"/>
  <c r="CC134" i="4"/>
  <c r="CB134" i="4"/>
  <c r="CA134" i="4"/>
  <c r="BZ134" i="4"/>
  <c r="BX134" i="4"/>
  <c r="BV134" i="4"/>
  <c r="BU134" i="4"/>
  <c r="BP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G134" i="4"/>
  <c r="AE134" i="4"/>
  <c r="AD134" i="4"/>
  <c r="Y134" i="4"/>
  <c r="X134" i="4"/>
  <c r="V134" i="4"/>
  <c r="U134" i="4"/>
  <c r="T134" i="4"/>
  <c r="S134" i="4"/>
  <c r="R134" i="4"/>
  <c r="Q134" i="4"/>
  <c r="P134" i="4"/>
  <c r="O134" i="4"/>
  <c r="N134" i="4"/>
  <c r="M134" i="4"/>
  <c r="L134" i="4"/>
  <c r="J134" i="4"/>
  <c r="H134" i="4"/>
  <c r="DF133" i="4"/>
  <c r="CM133" i="4"/>
  <c r="CL133" i="4"/>
  <c r="CK133" i="4"/>
  <c r="CJ133" i="4"/>
  <c r="CI133" i="4"/>
  <c r="CH133" i="4"/>
  <c r="CF133" i="4"/>
  <c r="CD133" i="4"/>
  <c r="CC133" i="4"/>
  <c r="CB133" i="4"/>
  <c r="CA133" i="4"/>
  <c r="BZ133" i="4"/>
  <c r="BY133" i="4"/>
  <c r="BX133" i="4"/>
  <c r="BV133" i="4"/>
  <c r="BU133" i="4"/>
  <c r="AV133" i="4"/>
  <c r="AU133" i="4"/>
  <c r="AT133" i="4"/>
  <c r="AS133" i="4"/>
  <c r="AR133" i="4"/>
  <c r="AQ133" i="4"/>
  <c r="AO133" i="4"/>
  <c r="AM133" i="4"/>
  <c r="AL133" i="4"/>
  <c r="AK133" i="4"/>
  <c r="AJ133" i="4"/>
  <c r="AI133" i="4"/>
  <c r="AH133" i="4"/>
  <c r="AG133" i="4"/>
  <c r="AE133" i="4"/>
  <c r="AD133" i="4"/>
  <c r="Y133" i="4"/>
  <c r="X133" i="4"/>
  <c r="V133" i="4"/>
  <c r="T133" i="4"/>
  <c r="S133" i="4"/>
  <c r="R133" i="4"/>
  <c r="P133" i="4"/>
  <c r="O133" i="4"/>
  <c r="N133" i="4"/>
  <c r="M133" i="4"/>
  <c r="L133" i="4"/>
  <c r="K133" i="4"/>
  <c r="J133" i="4"/>
  <c r="H133" i="4"/>
  <c r="DF132" i="4"/>
  <c r="CM132" i="4"/>
  <c r="CL132" i="4"/>
  <c r="CK132" i="4"/>
  <c r="CJ132" i="4"/>
  <c r="CI132" i="4"/>
  <c r="CH132" i="4"/>
  <c r="CG132" i="4"/>
  <c r="CF132" i="4"/>
  <c r="CD132" i="4"/>
  <c r="CC132" i="4"/>
  <c r="CB132" i="4"/>
  <c r="CA132" i="4"/>
  <c r="BZ132" i="4"/>
  <c r="BY132" i="4"/>
  <c r="BV132" i="4"/>
  <c r="BU132" i="4"/>
  <c r="BP132" i="4"/>
  <c r="AV132" i="4"/>
  <c r="AU132" i="4"/>
  <c r="AT132" i="4"/>
  <c r="AS132" i="4"/>
  <c r="AR132" i="4"/>
  <c r="AQ132" i="4"/>
  <c r="AP132" i="4"/>
  <c r="AO132" i="4"/>
  <c r="AM132" i="4"/>
  <c r="AL132" i="4"/>
  <c r="AK132" i="4"/>
  <c r="AJ132" i="4"/>
  <c r="AI132" i="4"/>
  <c r="AH132" i="4"/>
  <c r="AE132" i="4"/>
  <c r="AD132" i="4"/>
  <c r="Y132" i="4"/>
  <c r="X132" i="4"/>
  <c r="V132" i="4"/>
  <c r="U132" i="4"/>
  <c r="T132" i="4"/>
  <c r="S132" i="4"/>
  <c r="R132" i="4"/>
  <c r="L132" i="4"/>
  <c r="K132" i="4"/>
  <c r="H132" i="4"/>
  <c r="DF128" i="4"/>
  <c r="CM128" i="4"/>
  <c r="CJ128" i="4"/>
  <c r="CI128" i="4"/>
  <c r="CF128" i="4"/>
  <c r="CD128" i="4"/>
  <c r="CC128" i="4"/>
  <c r="CB128" i="4"/>
  <c r="CA128" i="4"/>
  <c r="BZ128" i="4"/>
  <c r="BV128" i="4"/>
  <c r="BU128" i="4"/>
  <c r="BO128" i="4"/>
  <c r="AV128" i="4"/>
  <c r="AT128" i="4"/>
  <c r="AS128" i="4"/>
  <c r="AR128" i="4"/>
  <c r="AO128" i="4"/>
  <c r="AM128" i="4"/>
  <c r="AL128" i="4"/>
  <c r="AK128" i="4"/>
  <c r="AJ128" i="4"/>
  <c r="AI128" i="4"/>
  <c r="AE128" i="4"/>
  <c r="Y128" i="4"/>
  <c r="X128" i="4"/>
  <c r="W128" i="4"/>
  <c r="V128" i="4"/>
  <c r="S128" i="4"/>
  <c r="R128" i="4"/>
  <c r="L128" i="4"/>
  <c r="I128" i="4"/>
  <c r="H128" i="4"/>
  <c r="DH127" i="4"/>
  <c r="DG127" i="4"/>
  <c r="DE127" i="4"/>
  <c r="DD127" i="4"/>
  <c r="DC127" i="4"/>
  <c r="DB127" i="4"/>
  <c r="DA127" i="4"/>
  <c r="CZ127" i="4"/>
  <c r="CY127" i="4"/>
  <c r="CX127" i="4"/>
  <c r="CW127" i="4"/>
  <c r="CV127" i="4"/>
  <c r="CU127" i="4"/>
  <c r="CS127" i="4"/>
  <c r="CR127" i="4"/>
  <c r="CQ127" i="4"/>
  <c r="CN127" i="4"/>
  <c r="BY127" i="4" s="1"/>
  <c r="CT127" i="4" s="1"/>
  <c r="BQ127" i="4"/>
  <c r="BN127" i="4"/>
  <c r="BM127" i="4"/>
  <c r="BL127" i="4"/>
  <c r="BK127" i="4"/>
  <c r="BJ127" i="4"/>
  <c r="BI127" i="4"/>
  <c r="BH127" i="4"/>
  <c r="BG127" i="4"/>
  <c r="BF127" i="4"/>
  <c r="BE127" i="4"/>
  <c r="BD127" i="4"/>
  <c r="BB127" i="4"/>
  <c r="BA127" i="4"/>
  <c r="AZ127" i="4"/>
  <c r="AW127" i="4"/>
  <c r="AH127" i="4"/>
  <c r="Z127" i="4"/>
  <c r="DI126" i="4"/>
  <c r="DH126" i="4"/>
  <c r="DG126" i="4"/>
  <c r="DE126" i="4"/>
  <c r="DD126" i="4"/>
  <c r="DC126" i="4"/>
  <c r="DB126" i="4"/>
  <c r="DA126" i="4"/>
  <c r="CZ126" i="4"/>
  <c r="CY126" i="4"/>
  <c r="CX126" i="4"/>
  <c r="CW126" i="4"/>
  <c r="CV126" i="4"/>
  <c r="CU126" i="4"/>
  <c r="CS126" i="4"/>
  <c r="CR126" i="4"/>
  <c r="CQ126" i="4"/>
  <c r="BY126" i="4"/>
  <c r="BR126" i="4"/>
  <c r="BQ126" i="4"/>
  <c r="BN126" i="4"/>
  <c r="BM126" i="4"/>
  <c r="BL126" i="4"/>
  <c r="BK126" i="4"/>
  <c r="BJ126" i="4"/>
  <c r="BI126" i="4"/>
  <c r="BH126" i="4"/>
  <c r="BG126" i="4"/>
  <c r="BF126" i="4"/>
  <c r="BE126" i="4"/>
  <c r="BD126" i="4"/>
  <c r="BB126" i="4"/>
  <c r="BA126" i="4"/>
  <c r="AZ126" i="4"/>
  <c r="AH126" i="4"/>
  <c r="BC126" i="4" s="1"/>
  <c r="G126" i="4"/>
  <c r="DI125" i="4"/>
  <c r="DH125" i="4"/>
  <c r="DG125" i="4"/>
  <c r="DE125" i="4"/>
  <c r="DD125" i="4"/>
  <c r="DC125" i="4"/>
  <c r="DB125" i="4"/>
  <c r="DA125" i="4"/>
  <c r="CZ125" i="4"/>
  <c r="CY125" i="4"/>
  <c r="CX125" i="4"/>
  <c r="CW125" i="4"/>
  <c r="CV125" i="4"/>
  <c r="CU125" i="4"/>
  <c r="CS125" i="4"/>
  <c r="CR125" i="4"/>
  <c r="CQ125" i="4"/>
  <c r="BY125" i="4"/>
  <c r="CT125" i="4" s="1"/>
  <c r="BT125" i="4"/>
  <c r="DN125" i="4" s="1"/>
  <c r="BR125" i="4"/>
  <c r="BQ125" i="4"/>
  <c r="BN125" i="4"/>
  <c r="BM125" i="4"/>
  <c r="BL125" i="4"/>
  <c r="BK125" i="4"/>
  <c r="BJ125" i="4"/>
  <c r="BI125" i="4"/>
  <c r="BH125" i="4"/>
  <c r="BG125" i="4"/>
  <c r="BF125" i="4"/>
  <c r="BE125" i="4"/>
  <c r="BD125" i="4"/>
  <c r="BB125" i="4"/>
  <c r="BA125" i="4"/>
  <c r="AZ125" i="4"/>
  <c r="AH125" i="4"/>
  <c r="BC125" i="4" s="1"/>
  <c r="G125" i="4"/>
  <c r="DI124" i="4"/>
  <c r="DH124" i="4"/>
  <c r="DG124" i="4"/>
  <c r="DE124" i="4"/>
  <c r="DD124" i="4"/>
  <c r="DC124" i="4"/>
  <c r="DB124" i="4"/>
  <c r="DA124" i="4"/>
  <c r="CZ124" i="4"/>
  <c r="CY124" i="4"/>
  <c r="CX124" i="4"/>
  <c r="CW124" i="4"/>
  <c r="CV124" i="4"/>
  <c r="CU124" i="4"/>
  <c r="CT124" i="4"/>
  <c r="CS124" i="4"/>
  <c r="CR124" i="4"/>
  <c r="CQ124" i="4"/>
  <c r="BT124" i="4"/>
  <c r="BR124" i="4"/>
  <c r="BQ124" i="4"/>
  <c r="BN124" i="4"/>
  <c r="BM124" i="4"/>
  <c r="BL124" i="4"/>
  <c r="BK124" i="4"/>
  <c r="BJ124" i="4"/>
  <c r="BI124" i="4"/>
  <c r="BH124" i="4"/>
  <c r="BG124" i="4"/>
  <c r="BF124" i="4"/>
  <c r="BE124" i="4"/>
  <c r="BD124" i="4"/>
  <c r="BC124" i="4"/>
  <c r="BB124" i="4"/>
  <c r="BA124" i="4"/>
  <c r="AZ124" i="4"/>
  <c r="AC124" i="4"/>
  <c r="G124" i="4"/>
  <c r="DI123" i="4"/>
  <c r="DH123" i="4"/>
  <c r="DG123" i="4"/>
  <c r="DE123" i="4"/>
  <c r="DD123" i="4"/>
  <c r="DC123" i="4"/>
  <c r="DB123" i="4"/>
  <c r="DA123" i="4"/>
  <c r="CZ123" i="4"/>
  <c r="CY123" i="4"/>
  <c r="CX123" i="4"/>
  <c r="CW123" i="4"/>
  <c r="CV123" i="4"/>
  <c r="CU123" i="4"/>
  <c r="CS123" i="4"/>
  <c r="CR123" i="4"/>
  <c r="CQ123" i="4"/>
  <c r="BY123" i="4"/>
  <c r="BT123" i="4" s="1"/>
  <c r="DN123" i="4" s="1"/>
  <c r="BR123" i="4"/>
  <c r="BQ123" i="4"/>
  <c r="BN123" i="4"/>
  <c r="BM123" i="4"/>
  <c r="BL123" i="4"/>
  <c r="BK123" i="4"/>
  <c r="BJ123" i="4"/>
  <c r="BI123" i="4"/>
  <c r="BH123" i="4"/>
  <c r="BG123" i="4"/>
  <c r="BF123" i="4"/>
  <c r="BE123" i="4"/>
  <c r="BD123" i="4"/>
  <c r="BB123" i="4"/>
  <c r="BA123" i="4"/>
  <c r="AZ123" i="4"/>
  <c r="AH123" i="4"/>
  <c r="AC123" i="4" s="1"/>
  <c r="K123" i="4"/>
  <c r="DI122" i="4"/>
  <c r="DH122" i="4"/>
  <c r="DG122" i="4"/>
  <c r="DE122" i="4"/>
  <c r="DD122" i="4"/>
  <c r="DC122" i="4"/>
  <c r="DB122" i="4"/>
  <c r="DA122" i="4"/>
  <c r="CZ122" i="4"/>
  <c r="CY122" i="4"/>
  <c r="CX122" i="4"/>
  <c r="CW122" i="4"/>
  <c r="CV122" i="4"/>
  <c r="CU122" i="4"/>
  <c r="CS122" i="4"/>
  <c r="CR122" i="4"/>
  <c r="CQ122" i="4"/>
  <c r="BY122" i="4"/>
  <c r="BR122" i="4"/>
  <c r="BQ122" i="4"/>
  <c r="BN122" i="4"/>
  <c r="BM122" i="4"/>
  <c r="BL122" i="4"/>
  <c r="BK122" i="4"/>
  <c r="BJ122" i="4"/>
  <c r="BI122" i="4"/>
  <c r="BH122" i="4"/>
  <c r="BG122" i="4"/>
  <c r="BF122" i="4"/>
  <c r="BE122" i="4"/>
  <c r="BD122" i="4"/>
  <c r="BB122" i="4"/>
  <c r="BA122" i="4"/>
  <c r="AZ122" i="4"/>
  <c r="AH122" i="4"/>
  <c r="K122" i="4"/>
  <c r="G122" i="4"/>
  <c r="CL121" i="4"/>
  <c r="DG121" i="4" s="1"/>
  <c r="DG138" i="4" s="1"/>
  <c r="CH121" i="4"/>
  <c r="AU121" i="4"/>
  <c r="AU138" i="4" s="1"/>
  <c r="AQ121" i="4"/>
  <c r="T121" i="4"/>
  <c r="G121" i="4"/>
  <c r="G138" i="4" s="1"/>
  <c r="DI120" i="4"/>
  <c r="DH120" i="4"/>
  <c r="DG120" i="4"/>
  <c r="DE120" i="4"/>
  <c r="DD120" i="4"/>
  <c r="DC120" i="4"/>
  <c r="DA120" i="4"/>
  <c r="CZ120" i="4"/>
  <c r="CY120" i="4"/>
  <c r="CX120" i="4"/>
  <c r="CW120" i="4"/>
  <c r="CV120" i="4"/>
  <c r="CU120" i="4"/>
  <c r="CT120" i="4"/>
  <c r="CS120" i="4"/>
  <c r="CR120" i="4"/>
  <c r="CQ120" i="4"/>
  <c r="CG120" i="4"/>
  <c r="BR120" i="4"/>
  <c r="BQ120" i="4"/>
  <c r="BP120" i="4"/>
  <c r="BP133" i="4" s="1"/>
  <c r="BN120" i="4"/>
  <c r="BM120" i="4"/>
  <c r="BL120" i="4"/>
  <c r="BJ120" i="4"/>
  <c r="BI120" i="4"/>
  <c r="BH120" i="4"/>
  <c r="BG120" i="4"/>
  <c r="BF120" i="4"/>
  <c r="BE120" i="4"/>
  <c r="BD120" i="4"/>
  <c r="BC120" i="4"/>
  <c r="BB120" i="4"/>
  <c r="BA120" i="4"/>
  <c r="AZ120" i="4"/>
  <c r="AP120" i="4"/>
  <c r="G120" i="4"/>
  <c r="DI119" i="4"/>
  <c r="DH119" i="4"/>
  <c r="DG119" i="4"/>
  <c r="DE119" i="4"/>
  <c r="DC119" i="4"/>
  <c r="DB119" i="4"/>
  <c r="DA119" i="4"/>
  <c r="CZ119" i="4"/>
  <c r="CY119" i="4"/>
  <c r="CX119" i="4"/>
  <c r="CW119" i="4"/>
  <c r="CV119" i="4"/>
  <c r="CU119" i="4"/>
  <c r="CT119" i="4"/>
  <c r="CS119" i="4"/>
  <c r="CQ119" i="4"/>
  <c r="BW119" i="4"/>
  <c r="BT119" i="4"/>
  <c r="DN119" i="4" s="1"/>
  <c r="BR119" i="4"/>
  <c r="BQ119" i="4"/>
  <c r="BN119" i="4"/>
  <c r="BL119" i="4"/>
  <c r="BK119" i="4"/>
  <c r="BJ119" i="4"/>
  <c r="BI119" i="4"/>
  <c r="BH119" i="4"/>
  <c r="BG119" i="4"/>
  <c r="BF119" i="4"/>
  <c r="BE119" i="4"/>
  <c r="BD119" i="4"/>
  <c r="BC119" i="4"/>
  <c r="BB119" i="4"/>
  <c r="AZ119" i="4"/>
  <c r="AF119" i="4"/>
  <c r="AC119" i="4" s="1"/>
  <c r="U119" i="4"/>
  <c r="DD119" i="4" s="1"/>
  <c r="I119" i="4"/>
  <c r="G119" i="4"/>
  <c r="DH118" i="4"/>
  <c r="DG118" i="4"/>
  <c r="DE118" i="4"/>
  <c r="DD118" i="4"/>
  <c r="DC118" i="4"/>
  <c r="DB118" i="4"/>
  <c r="DA118" i="4"/>
  <c r="CZ118" i="4"/>
  <c r="CY118" i="4"/>
  <c r="CX118" i="4"/>
  <c r="CW118" i="4"/>
  <c r="CV118" i="4"/>
  <c r="CU118" i="4"/>
  <c r="CT118" i="4"/>
  <c r="CS118" i="4"/>
  <c r="CR118" i="4"/>
  <c r="CQ118" i="4"/>
  <c r="CN118" i="4"/>
  <c r="BT118" i="4" s="1"/>
  <c r="DN118" i="4" s="1"/>
  <c r="BQ118" i="4"/>
  <c r="BN118" i="4"/>
  <c r="BM118" i="4"/>
  <c r="BL118" i="4"/>
  <c r="BK118" i="4"/>
  <c r="BJ118" i="4"/>
  <c r="BI118" i="4"/>
  <c r="BH118" i="4"/>
  <c r="BG118" i="4"/>
  <c r="BF118" i="4"/>
  <c r="BE118" i="4"/>
  <c r="BD118" i="4"/>
  <c r="BC118" i="4"/>
  <c r="BB118" i="4"/>
  <c r="BA118" i="4"/>
  <c r="AZ118" i="4"/>
  <c r="AW118" i="4"/>
  <c r="AC118" i="4" s="1"/>
  <c r="Z118" i="4"/>
  <c r="G118" i="4" s="1"/>
  <c r="DH117" i="4"/>
  <c r="DG117" i="4"/>
  <c r="DE117" i="4"/>
  <c r="DD117" i="4"/>
  <c r="DC117" i="4"/>
  <c r="DB117" i="4"/>
  <c r="DA117" i="4"/>
  <c r="CZ117" i="4"/>
  <c r="CY117" i="4"/>
  <c r="CX117" i="4"/>
  <c r="CW117" i="4"/>
  <c r="CV117" i="4"/>
  <c r="CU117" i="4"/>
  <c r="CT117" i="4"/>
  <c r="CS117" i="4"/>
  <c r="CR117" i="4"/>
  <c r="CQ117" i="4"/>
  <c r="CN117" i="4"/>
  <c r="BT117" i="4" s="1"/>
  <c r="DN117" i="4" s="1"/>
  <c r="BQ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Z117" i="4"/>
  <c r="AW117" i="4"/>
  <c r="BR117" i="4" s="1"/>
  <c r="Z117" i="4"/>
  <c r="G117" i="4"/>
  <c r="DH116" i="4"/>
  <c r="DG116" i="4"/>
  <c r="DE116" i="4"/>
  <c r="DD116" i="4"/>
  <c r="DC116" i="4"/>
  <c r="DB116" i="4"/>
  <c r="DA116" i="4"/>
  <c r="CZ116" i="4"/>
  <c r="CY116" i="4"/>
  <c r="CX116" i="4"/>
  <c r="CW116" i="4"/>
  <c r="CV116" i="4"/>
  <c r="CU116" i="4"/>
  <c r="CT116" i="4"/>
  <c r="CS116" i="4"/>
  <c r="CR116" i="4"/>
  <c r="CQ116" i="4"/>
  <c r="CN116" i="4"/>
  <c r="BT116" i="4" s="1"/>
  <c r="DN116" i="4" s="1"/>
  <c r="BQ116" i="4"/>
  <c r="BN116" i="4"/>
  <c r="BM116" i="4"/>
  <c r="BL116" i="4"/>
  <c r="BK116" i="4"/>
  <c r="BJ116" i="4"/>
  <c r="BI116" i="4"/>
  <c r="BH116" i="4"/>
  <c r="BG116" i="4"/>
  <c r="BF116" i="4"/>
  <c r="BE116" i="4"/>
  <c r="BD116" i="4"/>
  <c r="BC116" i="4"/>
  <c r="BB116" i="4"/>
  <c r="BA116" i="4"/>
  <c r="AZ116" i="4"/>
  <c r="AW116" i="4"/>
  <c r="AC116" i="4" s="1"/>
  <c r="Z116" i="4"/>
  <c r="G116" i="4"/>
  <c r="DH115" i="4"/>
  <c r="DG115" i="4"/>
  <c r="DE115" i="4"/>
  <c r="DD115" i="4"/>
  <c r="DC115" i="4"/>
  <c r="DB115" i="4"/>
  <c r="DA115" i="4"/>
  <c r="CZ115" i="4"/>
  <c r="CY115" i="4"/>
  <c r="CX115" i="4"/>
  <c r="CW115" i="4"/>
  <c r="CV115" i="4"/>
  <c r="CU115" i="4"/>
  <c r="CT115" i="4"/>
  <c r="CS115" i="4"/>
  <c r="CR115" i="4"/>
  <c r="CQ115" i="4"/>
  <c r="CE115" i="4"/>
  <c r="CE133" i="4" s="1"/>
  <c r="BW115" i="4"/>
  <c r="BQ115" i="4"/>
  <c r="BN115" i="4"/>
  <c r="BM115" i="4"/>
  <c r="BL115" i="4"/>
  <c r="BK115" i="4"/>
  <c r="BJ115" i="4"/>
  <c r="BI115" i="4"/>
  <c r="BH115" i="4"/>
  <c r="BG115" i="4"/>
  <c r="BF115" i="4"/>
  <c r="BE115" i="4"/>
  <c r="BD115" i="4"/>
  <c r="BC115" i="4"/>
  <c r="BB115" i="4"/>
  <c r="AZ115" i="4"/>
  <c r="AW115" i="4"/>
  <c r="AF115" i="4"/>
  <c r="BA115" i="4" s="1"/>
  <c r="AC115" i="4"/>
  <c r="Z115" i="4"/>
  <c r="DI114" i="4"/>
  <c r="DH114" i="4"/>
  <c r="DG114" i="4"/>
  <c r="DE114" i="4"/>
  <c r="DD114" i="4"/>
  <c r="DC114" i="4"/>
  <c r="DB114" i="4"/>
  <c r="DA114" i="4"/>
  <c r="CZ114" i="4"/>
  <c r="CY114" i="4"/>
  <c r="CX114" i="4"/>
  <c r="CW114" i="4"/>
  <c r="CV114" i="4"/>
  <c r="CU114" i="4"/>
  <c r="CT114" i="4"/>
  <c r="CS114" i="4"/>
  <c r="CQ114" i="4"/>
  <c r="BW114" i="4"/>
  <c r="CR114" i="4" s="1"/>
  <c r="BR114" i="4"/>
  <c r="BQ114" i="4"/>
  <c r="BN114" i="4"/>
  <c r="BM114" i="4"/>
  <c r="BL114" i="4"/>
  <c r="BK114" i="4"/>
  <c r="BJ114" i="4"/>
  <c r="BI114" i="4"/>
  <c r="BH114" i="4"/>
  <c r="BG114" i="4"/>
  <c r="BF114" i="4"/>
  <c r="BE114" i="4"/>
  <c r="BD114" i="4"/>
  <c r="BC114" i="4"/>
  <c r="BB114" i="4"/>
  <c r="AZ114" i="4"/>
  <c r="AF114" i="4"/>
  <c r="BA114" i="4" s="1"/>
  <c r="G114" i="4"/>
  <c r="DI113" i="4"/>
  <c r="DH113" i="4"/>
  <c r="DG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Q113" i="4"/>
  <c r="BW113" i="4"/>
  <c r="BR113" i="4"/>
  <c r="BQ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AZ113" i="4"/>
  <c r="AF113" i="4"/>
  <c r="I113" i="4"/>
  <c r="BA113" i="4" s="1"/>
  <c r="G113" i="4"/>
  <c r="DH112" i="4"/>
  <c r="DG112" i="4"/>
  <c r="DE112" i="4"/>
  <c r="DD112" i="4"/>
  <c r="DC112" i="4"/>
  <c r="DB112" i="4"/>
  <c r="DA112" i="4"/>
  <c r="CZ112" i="4"/>
  <c r="CY112" i="4"/>
  <c r="CX112" i="4"/>
  <c r="CW112" i="4"/>
  <c r="CV112" i="4"/>
  <c r="CU112" i="4"/>
  <c r="CT112" i="4"/>
  <c r="CS112" i="4"/>
  <c r="CQ112" i="4"/>
  <c r="CN112" i="4"/>
  <c r="BT112" i="4" s="1"/>
  <c r="DN112" i="4" s="1"/>
  <c r="BW112" i="4"/>
  <c r="BQ112" i="4"/>
  <c r="BN112" i="4"/>
  <c r="BM112" i="4"/>
  <c r="BL112" i="4"/>
  <c r="BK112" i="4"/>
  <c r="BJ112" i="4"/>
  <c r="BH112" i="4"/>
  <c r="BG112" i="4"/>
  <c r="BF112" i="4"/>
  <c r="BE112" i="4"/>
  <c r="BD112" i="4"/>
  <c r="BC112" i="4"/>
  <c r="BB112" i="4"/>
  <c r="AZ112" i="4"/>
  <c r="AW112" i="4"/>
  <c r="AN112" i="4"/>
  <c r="AF112" i="4"/>
  <c r="Z112" i="4"/>
  <c r="Q112" i="4"/>
  <c r="Q133" i="4" s="1"/>
  <c r="I112" i="4"/>
  <c r="G112" i="4"/>
  <c r="DI111" i="4"/>
  <c r="DH111" i="4"/>
  <c r="DG111" i="4"/>
  <c r="DE111" i="4"/>
  <c r="DD111" i="4"/>
  <c r="DC111" i="4"/>
  <c r="DB111" i="4"/>
  <c r="DA111" i="4"/>
  <c r="CY111" i="4"/>
  <c r="CX111" i="4"/>
  <c r="CW111" i="4"/>
  <c r="CV111" i="4"/>
  <c r="CU111" i="4"/>
  <c r="CT111" i="4"/>
  <c r="CR111" i="4"/>
  <c r="CQ111" i="4"/>
  <c r="CE111" i="4"/>
  <c r="BX111" i="4"/>
  <c r="BR111" i="4"/>
  <c r="BQ111" i="4"/>
  <c r="BN111" i="4"/>
  <c r="BM111" i="4"/>
  <c r="BL111" i="4"/>
  <c r="BK111" i="4"/>
  <c r="BJ111" i="4"/>
  <c r="BH111" i="4"/>
  <c r="BG111" i="4"/>
  <c r="BF111" i="4"/>
  <c r="BE111" i="4"/>
  <c r="BD111" i="4"/>
  <c r="BC111" i="4"/>
  <c r="BA111" i="4"/>
  <c r="AZ111" i="4"/>
  <c r="AN111" i="4"/>
  <c r="AG111" i="4"/>
  <c r="Q111" i="4"/>
  <c r="J111" i="4"/>
  <c r="DH110" i="4"/>
  <c r="DG110" i="4"/>
  <c r="DE110" i="4"/>
  <c r="DD110" i="4"/>
  <c r="DC110" i="4"/>
  <c r="DB110" i="4"/>
  <c r="DA110" i="4"/>
  <c r="CX110" i="4"/>
  <c r="CW110" i="4"/>
  <c r="CV110" i="4"/>
  <c r="CU110" i="4"/>
  <c r="CT110" i="4"/>
  <c r="CS110" i="4"/>
  <c r="CQ110" i="4"/>
  <c r="CN110" i="4"/>
  <c r="CE110" i="4"/>
  <c r="BX110" i="4"/>
  <c r="BW110" i="4"/>
  <c r="BQ110" i="4"/>
  <c r="BN110" i="4"/>
  <c r="BM110" i="4"/>
  <c r="BL110" i="4"/>
  <c r="BK110" i="4"/>
  <c r="BJ110" i="4"/>
  <c r="BH110" i="4"/>
  <c r="BG110" i="4"/>
  <c r="BF110" i="4"/>
  <c r="BE110" i="4"/>
  <c r="BD110" i="4"/>
  <c r="BC110" i="4"/>
  <c r="AZ110" i="4"/>
  <c r="AW110" i="4"/>
  <c r="AN110" i="4"/>
  <c r="AG110" i="4"/>
  <c r="BB110" i="4" s="1"/>
  <c r="AF110" i="4"/>
  <c r="Z110" i="4"/>
  <c r="Q110" i="4"/>
  <c r="P110" i="4"/>
  <c r="P132" i="4" s="1"/>
  <c r="I110" i="4"/>
  <c r="DH109" i="4"/>
  <c r="DG109" i="4"/>
  <c r="DE109" i="4"/>
  <c r="DD109" i="4"/>
  <c r="DC109" i="4"/>
  <c r="DB109" i="4"/>
  <c r="DA109" i="4"/>
  <c r="CZ109" i="4"/>
  <c r="CY109" i="4"/>
  <c r="CW109" i="4"/>
  <c r="CV109" i="4"/>
  <c r="CU109" i="4"/>
  <c r="CT109" i="4"/>
  <c r="CQ109" i="4"/>
  <c r="CN109" i="4"/>
  <c r="DI109" i="4" s="1"/>
  <c r="BQ109" i="4"/>
  <c r="BN109" i="4"/>
  <c r="BM109" i="4"/>
  <c r="BL109" i="4"/>
  <c r="BK109" i="4"/>
  <c r="BJ109" i="4"/>
  <c r="BH109" i="4"/>
  <c r="BD109" i="4"/>
  <c r="BC109" i="4"/>
  <c r="AZ109" i="4"/>
  <c r="AW109" i="4"/>
  <c r="BR109" i="4" s="1"/>
  <c r="AF109" i="4"/>
  <c r="Z109" i="4"/>
  <c r="Q109" i="4"/>
  <c r="O109" i="4"/>
  <c r="BG109" i="4" s="1"/>
  <c r="N109" i="4"/>
  <c r="BF109" i="4" s="1"/>
  <c r="M109" i="4"/>
  <c r="M132" i="4" s="1"/>
  <c r="J109" i="4"/>
  <c r="CS109" i="4" s="1"/>
  <c r="I109" i="4"/>
  <c r="DF108" i="4"/>
  <c r="CM108" i="4"/>
  <c r="CL108" i="4"/>
  <c r="CH108" i="4"/>
  <c r="CG108" i="4"/>
  <c r="CF108" i="4"/>
  <c r="CE108" i="4"/>
  <c r="CD108" i="4"/>
  <c r="CC108" i="4"/>
  <c r="CB108" i="4"/>
  <c r="BZ108" i="4"/>
  <c r="BY108" i="4"/>
  <c r="BW108" i="4"/>
  <c r="BU108" i="4"/>
  <c r="BP108" i="4"/>
  <c r="BO108" i="4"/>
  <c r="AV108" i="4"/>
  <c r="AU108" i="4"/>
  <c r="AT108" i="4"/>
  <c r="AQ108" i="4"/>
  <c r="AP108" i="4"/>
  <c r="AO108" i="4"/>
  <c r="AN108" i="4"/>
  <c r="AM108" i="4"/>
  <c r="AL108" i="4"/>
  <c r="AK108" i="4"/>
  <c r="AJ108" i="4"/>
  <c r="AI108" i="4"/>
  <c r="AG108" i="4"/>
  <c r="Y108" i="4"/>
  <c r="X108" i="4"/>
  <c r="W108" i="4"/>
  <c r="T108" i="4"/>
  <c r="S108" i="4"/>
  <c r="R108" i="4"/>
  <c r="Q108" i="4"/>
  <c r="P108" i="4"/>
  <c r="O108" i="4"/>
  <c r="N108" i="4"/>
  <c r="M108" i="4"/>
  <c r="L108" i="4"/>
  <c r="K108" i="4"/>
  <c r="J108" i="4"/>
  <c r="H108" i="4"/>
  <c r="DI107" i="4"/>
  <c r="DH107" i="4"/>
  <c r="DG107" i="4"/>
  <c r="DE107" i="4"/>
  <c r="DC107" i="4"/>
  <c r="DB107" i="4"/>
  <c r="DA107" i="4"/>
  <c r="CZ107" i="4"/>
  <c r="CY107" i="4"/>
  <c r="CX107" i="4"/>
  <c r="CW107" i="4"/>
  <c r="CV107" i="4"/>
  <c r="CU107" i="4"/>
  <c r="CT107" i="4"/>
  <c r="CS107" i="4"/>
  <c r="CQ107" i="4"/>
  <c r="CI107" i="4"/>
  <c r="DD107" i="4" s="1"/>
  <c r="BR107" i="4"/>
  <c r="BQ107" i="4"/>
  <c r="BN107" i="4"/>
  <c r="BL107" i="4"/>
  <c r="BK107" i="4"/>
  <c r="BJ107" i="4"/>
  <c r="BI107" i="4"/>
  <c r="BH107" i="4"/>
  <c r="BG107" i="4"/>
  <c r="BF107" i="4"/>
  <c r="BE107" i="4"/>
  <c r="BD107" i="4"/>
  <c r="BC107" i="4"/>
  <c r="BB107" i="4"/>
  <c r="AZ107" i="4"/>
  <c r="AR107" i="4"/>
  <c r="AR108" i="4" s="1"/>
  <c r="U107" i="4"/>
  <c r="I107" i="4"/>
  <c r="DI106" i="4"/>
  <c r="DH106" i="4"/>
  <c r="DG106" i="4"/>
  <c r="DD106" i="4"/>
  <c r="DC106" i="4"/>
  <c r="DB106" i="4"/>
  <c r="DA106" i="4"/>
  <c r="CZ106" i="4"/>
  <c r="CY106" i="4"/>
  <c r="CX106" i="4"/>
  <c r="CW106" i="4"/>
  <c r="CV106" i="4"/>
  <c r="CU106" i="4"/>
  <c r="CT106" i="4"/>
  <c r="CS106" i="4"/>
  <c r="CR106" i="4"/>
  <c r="CQ106" i="4"/>
  <c r="CJ106" i="4"/>
  <c r="DE106" i="4" s="1"/>
  <c r="BR106" i="4"/>
  <c r="BQ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BA106" i="4"/>
  <c r="AZ106" i="4"/>
  <c r="AS106" i="4"/>
  <c r="BN106" i="4" s="1"/>
  <c r="G106" i="4"/>
  <c r="DI105" i="4"/>
  <c r="DH105" i="4"/>
  <c r="DG105" i="4"/>
  <c r="DD105" i="4"/>
  <c r="DC105" i="4"/>
  <c r="DB105" i="4"/>
  <c r="DA105" i="4"/>
  <c r="CZ105" i="4"/>
  <c r="CY105" i="4"/>
  <c r="CX105" i="4"/>
  <c r="CW105" i="4"/>
  <c r="CV105" i="4"/>
  <c r="CU105" i="4"/>
  <c r="CT105" i="4"/>
  <c r="CS105" i="4"/>
  <c r="CR105" i="4"/>
  <c r="CQ105" i="4"/>
  <c r="CJ105" i="4"/>
  <c r="DE105" i="4" s="1"/>
  <c r="BR105" i="4"/>
  <c r="BQ105" i="4"/>
  <c r="BM105" i="4"/>
  <c r="BL105" i="4"/>
  <c r="BK105" i="4"/>
  <c r="BJ105" i="4"/>
  <c r="BI105" i="4"/>
  <c r="BH105" i="4"/>
  <c r="BG105" i="4"/>
  <c r="BF105" i="4"/>
  <c r="BE105" i="4"/>
  <c r="BD105" i="4"/>
  <c r="BC105" i="4"/>
  <c r="BB105" i="4"/>
  <c r="BA105" i="4"/>
  <c r="AZ105" i="4"/>
  <c r="AS105" i="4"/>
  <c r="AC105" i="4" s="1"/>
  <c r="G105" i="4"/>
  <c r="DI104" i="4"/>
  <c r="DH104" i="4"/>
  <c r="DG104" i="4"/>
  <c r="DD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BV104" i="4"/>
  <c r="BT104" i="4" s="1"/>
  <c r="DN104" i="4" s="1"/>
  <c r="BR104" i="4"/>
  <c r="BQ104" i="4"/>
  <c r="BM104" i="4"/>
  <c r="BL104" i="4"/>
  <c r="BK104" i="4"/>
  <c r="BJ104" i="4"/>
  <c r="BI104" i="4"/>
  <c r="BH104" i="4"/>
  <c r="BG104" i="4"/>
  <c r="BF104" i="4"/>
  <c r="BE104" i="4"/>
  <c r="BD104" i="4"/>
  <c r="BB104" i="4"/>
  <c r="AS104" i="4"/>
  <c r="AH104" i="4"/>
  <c r="AF104" i="4"/>
  <c r="AF108" i="4" s="1"/>
  <c r="AE104" i="4"/>
  <c r="AZ104" i="4" s="1"/>
  <c r="V104" i="4"/>
  <c r="DE104" i="4" s="1"/>
  <c r="DH103" i="4"/>
  <c r="DG103" i="4"/>
  <c r="DD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Q103" i="4"/>
  <c r="CN103" i="4"/>
  <c r="DI103" i="4" s="1"/>
  <c r="CJ103" i="4"/>
  <c r="BT103" i="4" s="1"/>
  <c r="DN103" i="4" s="1"/>
  <c r="BQ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W103" i="4"/>
  <c r="BR103" i="4" s="1"/>
  <c r="AS103" i="4"/>
  <c r="Z103" i="4"/>
  <c r="V103" i="4"/>
  <c r="DH102" i="4"/>
  <c r="DG102" i="4"/>
  <c r="DD102" i="4"/>
  <c r="DC102" i="4"/>
  <c r="DB102" i="4"/>
  <c r="DA102" i="4"/>
  <c r="CZ102" i="4"/>
  <c r="CY102" i="4"/>
  <c r="CX102" i="4"/>
  <c r="CW102" i="4"/>
  <c r="CV102" i="4"/>
  <c r="CU102" i="4"/>
  <c r="CT102" i="4"/>
  <c r="CS102" i="4"/>
  <c r="CR102" i="4"/>
  <c r="CQ102" i="4"/>
  <c r="CN102" i="4"/>
  <c r="CJ102" i="4" s="1"/>
  <c r="BQ102" i="4"/>
  <c r="BM102" i="4"/>
  <c r="BL102" i="4"/>
  <c r="BK102" i="4"/>
  <c r="BJ102" i="4"/>
  <c r="BI102" i="4"/>
  <c r="BH102" i="4"/>
  <c r="BG102" i="4"/>
  <c r="BF102" i="4"/>
  <c r="BE102" i="4"/>
  <c r="BD102" i="4"/>
  <c r="BC102" i="4"/>
  <c r="BB102" i="4"/>
  <c r="BA102" i="4"/>
  <c r="AZ102" i="4"/>
  <c r="AW102" i="4"/>
  <c r="AS102" i="4"/>
  <c r="BN102" i="4" s="1"/>
  <c r="Z102" i="4"/>
  <c r="DI102" i="4" s="1"/>
  <c r="DH101" i="4"/>
  <c r="DG101" i="4"/>
  <c r="DE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J101" i="4"/>
  <c r="BT101" i="4" s="1"/>
  <c r="DN101" i="4" s="1"/>
  <c r="BR101" i="4"/>
  <c r="BQ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S101" i="4"/>
  <c r="Z101" i="4"/>
  <c r="DI101" i="4" s="1"/>
  <c r="DI100" i="4"/>
  <c r="DH100" i="4"/>
  <c r="DG100" i="4"/>
  <c r="DE100" i="4"/>
  <c r="DD100" i="4"/>
  <c r="DC100" i="4"/>
  <c r="DB100" i="4"/>
  <c r="DA100" i="4"/>
  <c r="CZ100" i="4"/>
  <c r="CY100" i="4"/>
  <c r="CX100" i="4"/>
  <c r="CW100" i="4"/>
  <c r="CV100" i="4"/>
  <c r="CU100" i="4"/>
  <c r="CT100" i="4"/>
  <c r="CS100" i="4"/>
  <c r="CR100" i="4"/>
  <c r="CQ100" i="4"/>
  <c r="CJ100" i="4"/>
  <c r="BT100" i="4" s="1"/>
  <c r="DN100" i="4" s="1"/>
  <c r="BR100" i="4"/>
  <c r="BQ100" i="4"/>
  <c r="BP100" i="4"/>
  <c r="BM100" i="4"/>
  <c r="BL100" i="4"/>
  <c r="BK100" i="4"/>
  <c r="BJ100" i="4"/>
  <c r="BI100" i="4"/>
  <c r="BH100" i="4"/>
  <c r="BG100" i="4"/>
  <c r="BF100" i="4"/>
  <c r="BE100" i="4"/>
  <c r="BD100" i="4"/>
  <c r="BC100" i="4"/>
  <c r="BB100" i="4"/>
  <c r="BA100" i="4"/>
  <c r="AZ100" i="4"/>
  <c r="AS100" i="4"/>
  <c r="AC100" i="4" s="1"/>
  <c r="G100" i="4"/>
  <c r="DI99" i="4"/>
  <c r="DH99" i="4"/>
  <c r="DG99" i="4"/>
  <c r="DE99" i="4"/>
  <c r="DD99" i="4"/>
  <c r="DC99" i="4"/>
  <c r="DB99" i="4"/>
  <c r="DA99" i="4"/>
  <c r="CZ99" i="4"/>
  <c r="CY99" i="4"/>
  <c r="CX99" i="4"/>
  <c r="CW99" i="4"/>
  <c r="CV99" i="4"/>
  <c r="CU99" i="4"/>
  <c r="CT99" i="4"/>
  <c r="CS99" i="4"/>
  <c r="CR99" i="4"/>
  <c r="CQ99" i="4"/>
  <c r="BT99" i="4"/>
  <c r="BS99" i="4" s="1"/>
  <c r="CO99" i="4" s="1"/>
  <c r="BR99" i="4"/>
  <c r="BQ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C99" i="4"/>
  <c r="G99" i="4"/>
  <c r="DI98" i="4"/>
  <c r="DH98" i="4"/>
  <c r="DG98" i="4"/>
  <c r="DD98" i="4"/>
  <c r="DC98" i="4"/>
  <c r="DB98" i="4"/>
  <c r="DA98" i="4"/>
  <c r="CZ98" i="4"/>
  <c r="CY98" i="4"/>
  <c r="CX98" i="4"/>
  <c r="CW98" i="4"/>
  <c r="CV98" i="4"/>
  <c r="CU98" i="4"/>
  <c r="CT98" i="4"/>
  <c r="CS98" i="4"/>
  <c r="CR98" i="4"/>
  <c r="CQ98" i="4"/>
  <c r="CJ98" i="4"/>
  <c r="BT98" i="4" s="1"/>
  <c r="DN98" i="4" s="1"/>
  <c r="BR98" i="4"/>
  <c r="BQ98" i="4"/>
  <c r="BL98" i="4"/>
  <c r="BK98" i="4"/>
  <c r="BJ98" i="4"/>
  <c r="BI98" i="4"/>
  <c r="BH98" i="4"/>
  <c r="BG98" i="4"/>
  <c r="BF98" i="4"/>
  <c r="BE98" i="4"/>
  <c r="BD98" i="4"/>
  <c r="BC98" i="4"/>
  <c r="BB98" i="4"/>
  <c r="BA98" i="4"/>
  <c r="AZ98" i="4"/>
  <c r="AS98" i="4"/>
  <c r="U98" i="4"/>
  <c r="BM98" i="4" s="1"/>
  <c r="G98" i="4"/>
  <c r="DI97" i="4"/>
  <c r="DH97" i="4"/>
  <c r="DG97" i="4"/>
  <c r="DD97" i="4"/>
  <c r="DC97" i="4"/>
  <c r="DB97" i="4"/>
  <c r="DA97" i="4"/>
  <c r="CZ97" i="4"/>
  <c r="CY97" i="4"/>
  <c r="CX97" i="4"/>
  <c r="CW97" i="4"/>
  <c r="CV97" i="4"/>
  <c r="CU97" i="4"/>
  <c r="CT97" i="4"/>
  <c r="CS97" i="4"/>
  <c r="CR97" i="4"/>
  <c r="CQ97" i="4"/>
  <c r="CJ97" i="4"/>
  <c r="BT97" i="4" s="1"/>
  <c r="DN97" i="4" s="1"/>
  <c r="BR97" i="4"/>
  <c r="BQ97" i="4"/>
  <c r="BM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S97" i="4"/>
  <c r="AC97" i="4" s="1"/>
  <c r="G97" i="4"/>
  <c r="DH96" i="4"/>
  <c r="DG96" i="4"/>
  <c r="DE96" i="4"/>
  <c r="DD96" i="4"/>
  <c r="DC96" i="4"/>
  <c r="DB96" i="4"/>
  <c r="DA96" i="4"/>
  <c r="CZ96" i="4"/>
  <c r="CY96" i="4"/>
  <c r="CX96" i="4"/>
  <c r="CW96" i="4"/>
  <c r="CV96" i="4"/>
  <c r="CU96" i="4"/>
  <c r="CT96" i="4"/>
  <c r="CS96" i="4"/>
  <c r="CR96" i="4"/>
  <c r="CQ96" i="4"/>
  <c r="CN96" i="4"/>
  <c r="CN108" i="4" s="1"/>
  <c r="BT96" i="4"/>
  <c r="DN96" i="4" s="1"/>
  <c r="BQ96" i="4"/>
  <c r="BM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W96" i="4"/>
  <c r="AS96" i="4"/>
  <c r="BN96" i="4" s="1"/>
  <c r="Z96" i="4"/>
  <c r="DI95" i="4"/>
  <c r="DH95" i="4"/>
  <c r="DG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J95" i="4"/>
  <c r="BT95" i="4"/>
  <c r="DN95" i="4" s="1"/>
  <c r="BR95" i="4"/>
  <c r="BQ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S95" i="4"/>
  <c r="AC95" i="4" s="1"/>
  <c r="V95" i="4"/>
  <c r="BN95" i="4" s="1"/>
  <c r="G95" i="4"/>
  <c r="DI94" i="4"/>
  <c r="DH94" i="4"/>
  <c r="DG94" i="4"/>
  <c r="DD94" i="4"/>
  <c r="DC94" i="4"/>
  <c r="DB94" i="4"/>
  <c r="DA94" i="4"/>
  <c r="CZ94" i="4"/>
  <c r="CY94" i="4"/>
  <c r="CX94" i="4"/>
  <c r="CW94" i="4"/>
  <c r="CV94" i="4"/>
  <c r="CU94" i="4"/>
  <c r="CT94" i="4"/>
  <c r="CS94" i="4"/>
  <c r="CR94" i="4"/>
  <c r="CQ94" i="4"/>
  <c r="CJ94" i="4"/>
  <c r="BT94" i="4" s="1"/>
  <c r="DN94" i="4" s="1"/>
  <c r="BR94" i="4"/>
  <c r="BQ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S94" i="4"/>
  <c r="AC94" i="4" s="1"/>
  <c r="V94" i="4"/>
  <c r="G94" i="4" s="1"/>
  <c r="DI93" i="4"/>
  <c r="DH93" i="4"/>
  <c r="DG93" i="4"/>
  <c r="DD93" i="4"/>
  <c r="DC93" i="4"/>
  <c r="DB93" i="4"/>
  <c r="DA93" i="4"/>
  <c r="CZ93" i="4"/>
  <c r="CY93" i="4"/>
  <c r="CX93" i="4"/>
  <c r="CW93" i="4"/>
  <c r="CV93" i="4"/>
  <c r="CU93" i="4"/>
  <c r="CT93" i="4"/>
  <c r="CS93" i="4"/>
  <c r="CR93" i="4"/>
  <c r="CQ93" i="4"/>
  <c r="CJ93" i="4"/>
  <c r="BT93" i="4"/>
  <c r="DN93" i="4" s="1"/>
  <c r="BR93" i="4"/>
  <c r="BQ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BA93" i="4"/>
  <c r="AZ93" i="4"/>
  <c r="AS93" i="4"/>
  <c r="V93" i="4"/>
  <c r="G93" i="4"/>
  <c r="DF91" i="4"/>
  <c r="CM91" i="4"/>
  <c r="CL91" i="4"/>
  <c r="CJ91" i="4"/>
  <c r="CI91" i="4"/>
  <c r="CH91" i="4"/>
  <c r="CE91" i="4"/>
  <c r="CD91" i="4"/>
  <c r="CC91" i="4"/>
  <c r="CB91" i="4"/>
  <c r="CA91" i="4"/>
  <c r="BX91" i="4"/>
  <c r="BW91" i="4"/>
  <c r="BV91" i="4"/>
  <c r="BU91" i="4"/>
  <c r="BO91" i="4"/>
  <c r="AV91" i="4"/>
  <c r="AU91" i="4"/>
  <c r="AT91" i="4"/>
  <c r="AS91" i="4"/>
  <c r="AR91" i="4"/>
  <c r="AQ91" i="4"/>
  <c r="AN91" i="4"/>
  <c r="AM91" i="4"/>
  <c r="AL91" i="4"/>
  <c r="AK91" i="4"/>
  <c r="AJ91" i="4"/>
  <c r="AG91" i="4"/>
  <c r="AF91" i="4"/>
  <c r="AE91" i="4"/>
  <c r="Y91" i="4"/>
  <c r="X91" i="4"/>
  <c r="W91" i="4"/>
  <c r="V91" i="4"/>
  <c r="U91" i="4"/>
  <c r="T91" i="4"/>
  <c r="Q91" i="4"/>
  <c r="P91" i="4"/>
  <c r="O91" i="4"/>
  <c r="N91" i="4"/>
  <c r="M91" i="4"/>
  <c r="J91" i="4"/>
  <c r="I91" i="4"/>
  <c r="H91" i="4"/>
  <c r="DH90" i="4"/>
  <c r="DG90" i="4"/>
  <c r="DE90" i="4"/>
  <c r="DD90" i="4"/>
  <c r="DC90" i="4"/>
  <c r="DB90" i="4"/>
  <c r="DA90" i="4"/>
  <c r="CZ90" i="4"/>
  <c r="CY90" i="4"/>
  <c r="CX90" i="4"/>
  <c r="CW90" i="4"/>
  <c r="CV90" i="4"/>
  <c r="CU90" i="4"/>
  <c r="CT90" i="4"/>
  <c r="CS90" i="4"/>
  <c r="CR90" i="4"/>
  <c r="CQ90" i="4"/>
  <c r="CN90" i="4"/>
  <c r="BT90" i="4" s="1"/>
  <c r="BQ90" i="4"/>
  <c r="BP90" i="4"/>
  <c r="BN90" i="4"/>
  <c r="BM90" i="4"/>
  <c r="BL90" i="4"/>
  <c r="BK90" i="4"/>
  <c r="BJ90" i="4"/>
  <c r="BI90" i="4"/>
  <c r="BH90" i="4"/>
  <c r="BG90" i="4"/>
  <c r="BF90" i="4"/>
  <c r="BE90" i="4"/>
  <c r="BD90" i="4"/>
  <c r="BC90" i="4"/>
  <c r="BB90" i="4"/>
  <c r="BA90" i="4"/>
  <c r="AZ90" i="4"/>
  <c r="AW90" i="4"/>
  <c r="Z90" i="4"/>
  <c r="G90" i="4"/>
  <c r="DI89" i="4"/>
  <c r="DH89" i="4"/>
  <c r="DG89" i="4"/>
  <c r="DE89" i="4"/>
  <c r="DD89" i="4"/>
  <c r="DC89" i="4"/>
  <c r="DA89" i="4"/>
  <c r="CZ89" i="4"/>
  <c r="CY89" i="4"/>
  <c r="CX89" i="4"/>
  <c r="CW89" i="4"/>
  <c r="CV89" i="4"/>
  <c r="CU89" i="4"/>
  <c r="CS89" i="4"/>
  <c r="CR89" i="4"/>
  <c r="CQ89" i="4"/>
  <c r="CG89" i="4"/>
  <c r="BY89" i="4"/>
  <c r="CT89" i="4" s="1"/>
  <c r="BR89" i="4"/>
  <c r="BQ89" i="4"/>
  <c r="BP89" i="4"/>
  <c r="BN89" i="4"/>
  <c r="BM89" i="4"/>
  <c r="BL89" i="4"/>
  <c r="BJ89" i="4"/>
  <c r="BI89" i="4"/>
  <c r="BH89" i="4"/>
  <c r="BG89" i="4"/>
  <c r="BF89" i="4"/>
  <c r="BE89" i="4"/>
  <c r="BD89" i="4"/>
  <c r="BB89" i="4"/>
  <c r="BA89" i="4"/>
  <c r="AZ89" i="4"/>
  <c r="AP89" i="4"/>
  <c r="BK89" i="4" s="1"/>
  <c r="AH89" i="4"/>
  <c r="G89" i="4"/>
  <c r="DH88" i="4"/>
  <c r="DG88" i="4"/>
  <c r="DE88" i="4"/>
  <c r="DD88" i="4"/>
  <c r="DC88" i="4"/>
  <c r="DB88" i="4"/>
  <c r="DA88" i="4"/>
  <c r="CZ88" i="4"/>
  <c r="CY88" i="4"/>
  <c r="CX88" i="4"/>
  <c r="CW88" i="4"/>
  <c r="CV88" i="4"/>
  <c r="CU88" i="4"/>
  <c r="CS88" i="4"/>
  <c r="CR88" i="4"/>
  <c r="CQ88" i="4"/>
  <c r="BY88" i="4"/>
  <c r="BR88" i="4"/>
  <c r="BQ88" i="4"/>
  <c r="BN88" i="4"/>
  <c r="BM88" i="4"/>
  <c r="BL88" i="4"/>
  <c r="BK88" i="4"/>
  <c r="BJ88" i="4"/>
  <c r="BI88" i="4"/>
  <c r="BH88" i="4"/>
  <c r="BG88" i="4"/>
  <c r="BF88" i="4"/>
  <c r="BE88" i="4"/>
  <c r="BD88" i="4"/>
  <c r="BB88" i="4"/>
  <c r="BA88" i="4"/>
  <c r="AZ88" i="4"/>
  <c r="AH88" i="4"/>
  <c r="Z88" i="4"/>
  <c r="DI88" i="4" s="1"/>
  <c r="G88" i="4"/>
  <c r="DI87" i="4"/>
  <c r="DH87" i="4"/>
  <c r="DG87" i="4"/>
  <c r="DE87" i="4"/>
  <c r="DD87" i="4"/>
  <c r="DC87" i="4"/>
  <c r="DB87" i="4"/>
  <c r="DA87" i="4"/>
  <c r="CZ87" i="4"/>
  <c r="CY87" i="4"/>
  <c r="CX87" i="4"/>
  <c r="CW87" i="4"/>
  <c r="CV87" i="4"/>
  <c r="CU87" i="4"/>
  <c r="CS87" i="4"/>
  <c r="CR87" i="4"/>
  <c r="CQ87" i="4"/>
  <c r="BY87" i="4"/>
  <c r="CT87" i="4" s="1"/>
  <c r="BR87" i="4"/>
  <c r="BQ87" i="4"/>
  <c r="BN87" i="4"/>
  <c r="BM87" i="4"/>
  <c r="BL87" i="4"/>
  <c r="BK87" i="4"/>
  <c r="BJ87" i="4"/>
  <c r="BI87" i="4"/>
  <c r="BH87" i="4"/>
  <c r="BG87" i="4"/>
  <c r="BF87" i="4"/>
  <c r="BE87" i="4"/>
  <c r="BD87" i="4"/>
  <c r="BB87" i="4"/>
  <c r="BA87" i="4"/>
  <c r="AZ87" i="4"/>
  <c r="AH87" i="4"/>
  <c r="AC87" i="4" s="1"/>
  <c r="G87" i="4"/>
  <c r="DI86" i="4"/>
  <c r="DH86" i="4"/>
  <c r="DG86" i="4"/>
  <c r="DE86" i="4"/>
  <c r="DD86" i="4"/>
  <c r="DC86" i="4"/>
  <c r="DB86" i="4"/>
  <c r="DA86" i="4"/>
  <c r="CZ86" i="4"/>
  <c r="CY86" i="4"/>
  <c r="CX86" i="4"/>
  <c r="CW86" i="4"/>
  <c r="CV86" i="4"/>
  <c r="CU86" i="4"/>
  <c r="CS86" i="4"/>
  <c r="CR86" i="4"/>
  <c r="CQ86" i="4"/>
  <c r="BY86" i="4"/>
  <c r="CT86" i="4" s="1"/>
  <c r="BR86" i="4"/>
  <c r="BQ86" i="4"/>
  <c r="BN86" i="4"/>
  <c r="BM86" i="4"/>
  <c r="BL86" i="4"/>
  <c r="BK86" i="4"/>
  <c r="BJ86" i="4"/>
  <c r="BI86" i="4"/>
  <c r="BH86" i="4"/>
  <c r="BG86" i="4"/>
  <c r="BF86" i="4"/>
  <c r="BE86" i="4"/>
  <c r="BD86" i="4"/>
  <c r="BB86" i="4"/>
  <c r="BA86" i="4"/>
  <c r="AZ86" i="4"/>
  <c r="AH86" i="4"/>
  <c r="G86" i="4"/>
  <c r="DI85" i="4"/>
  <c r="DH85" i="4"/>
  <c r="DG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S85" i="4"/>
  <c r="CR85" i="4"/>
  <c r="CQ85" i="4"/>
  <c r="CP85" i="4" s="1"/>
  <c r="BT85" i="4"/>
  <c r="BR85" i="4"/>
  <c r="BQ85" i="4"/>
  <c r="BP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BA85" i="4"/>
  <c r="AZ85" i="4"/>
  <c r="AC85" i="4"/>
  <c r="G85" i="4"/>
  <c r="DI84" i="4"/>
  <c r="DH84" i="4"/>
  <c r="DG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CR84" i="4"/>
  <c r="CQ84" i="4"/>
  <c r="BT84" i="4"/>
  <c r="BR84" i="4"/>
  <c r="BQ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C84" i="4"/>
  <c r="G84" i="4"/>
  <c r="DI83" i="4"/>
  <c r="DH83" i="4"/>
  <c r="DG83" i="4"/>
  <c r="DE83" i="4"/>
  <c r="DD83" i="4"/>
  <c r="DC83" i="4"/>
  <c r="DA83" i="4"/>
  <c r="CZ83" i="4"/>
  <c r="CY83" i="4"/>
  <c r="CX83" i="4"/>
  <c r="CW83" i="4"/>
  <c r="CV83" i="4"/>
  <c r="CU83" i="4"/>
  <c r="CT83" i="4"/>
  <c r="CS83" i="4"/>
  <c r="CR83" i="4"/>
  <c r="CQ83" i="4"/>
  <c r="CG83" i="4"/>
  <c r="BR83" i="4"/>
  <c r="BQ83" i="4"/>
  <c r="BP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P83" i="4"/>
  <c r="AH83" i="4"/>
  <c r="AC83" i="4" s="1"/>
  <c r="G83" i="4"/>
  <c r="DI82" i="4"/>
  <c r="DH82" i="4"/>
  <c r="DG82" i="4"/>
  <c r="DE82" i="4"/>
  <c r="DD82" i="4"/>
  <c r="DC82" i="4"/>
  <c r="DA82" i="4"/>
  <c r="CZ82" i="4"/>
  <c r="CY82" i="4"/>
  <c r="CX82" i="4"/>
  <c r="CW82" i="4"/>
  <c r="CV82" i="4"/>
  <c r="CU82" i="4"/>
  <c r="CT82" i="4"/>
  <c r="CS82" i="4"/>
  <c r="CR82" i="4"/>
  <c r="CQ82" i="4"/>
  <c r="BT82" i="4"/>
  <c r="BR82" i="4"/>
  <c r="BQ82" i="4"/>
  <c r="BN82" i="4"/>
  <c r="BM82" i="4"/>
  <c r="BL82" i="4"/>
  <c r="BJ82" i="4"/>
  <c r="BI82" i="4"/>
  <c r="BH82" i="4"/>
  <c r="BG82" i="4"/>
  <c r="BF82" i="4"/>
  <c r="BE82" i="4"/>
  <c r="BD82" i="4"/>
  <c r="BC82" i="4"/>
  <c r="BB82" i="4"/>
  <c r="BA82" i="4"/>
  <c r="AZ82" i="4"/>
  <c r="AC82" i="4"/>
  <c r="S82" i="4"/>
  <c r="DI81" i="4"/>
  <c r="DH81" i="4"/>
  <c r="DG81" i="4"/>
  <c r="DE81" i="4"/>
  <c r="DD81" i="4"/>
  <c r="DC81" i="4"/>
  <c r="DB81" i="4"/>
  <c r="DA81" i="4"/>
  <c r="CZ81" i="4"/>
  <c r="CY81" i="4"/>
  <c r="CX81" i="4"/>
  <c r="CW81" i="4"/>
  <c r="CV81" i="4"/>
  <c r="CU81" i="4"/>
  <c r="CT81" i="4"/>
  <c r="CS81" i="4"/>
  <c r="CR81" i="4"/>
  <c r="CQ81" i="4"/>
  <c r="BY81" i="4"/>
  <c r="BT81" i="4" s="1"/>
  <c r="DN81" i="4" s="1"/>
  <c r="BR81" i="4"/>
  <c r="BQ81" i="4"/>
  <c r="BN81" i="4"/>
  <c r="BM81" i="4"/>
  <c r="BL81" i="4"/>
  <c r="BK81" i="4"/>
  <c r="BJ81" i="4"/>
  <c r="BI81" i="4"/>
  <c r="BH81" i="4"/>
  <c r="BG81" i="4"/>
  <c r="BF81" i="4"/>
  <c r="BE81" i="4"/>
  <c r="BD81" i="4"/>
  <c r="BB81" i="4"/>
  <c r="BA81" i="4"/>
  <c r="AZ81" i="4"/>
  <c r="AH81" i="4"/>
  <c r="G81" i="4"/>
  <c r="DI80" i="4"/>
  <c r="DH80" i="4"/>
  <c r="DG80" i="4"/>
  <c r="DE80" i="4"/>
  <c r="DD80" i="4"/>
  <c r="DC80" i="4"/>
  <c r="DA80" i="4"/>
  <c r="CZ80" i="4"/>
  <c r="CY80" i="4"/>
  <c r="CX80" i="4"/>
  <c r="CW80" i="4"/>
  <c r="CV80" i="4"/>
  <c r="CU80" i="4"/>
  <c r="CT80" i="4"/>
  <c r="CS80" i="4"/>
  <c r="CR80" i="4"/>
  <c r="CQ80" i="4"/>
  <c r="CG80" i="4"/>
  <c r="BT80" i="4" s="1"/>
  <c r="DN80" i="4" s="1"/>
  <c r="BR80" i="4"/>
  <c r="BQ80" i="4"/>
  <c r="BN80" i="4"/>
  <c r="BM80" i="4"/>
  <c r="BL80" i="4"/>
  <c r="BJ80" i="4"/>
  <c r="BI80" i="4"/>
  <c r="BH80" i="4"/>
  <c r="BG80" i="4"/>
  <c r="BF80" i="4"/>
  <c r="BE80" i="4"/>
  <c r="BD80" i="4"/>
  <c r="BB80" i="4"/>
  <c r="BA80" i="4"/>
  <c r="AZ80" i="4"/>
  <c r="AP80" i="4"/>
  <c r="AH80" i="4"/>
  <c r="S80" i="4"/>
  <c r="G80" i="4"/>
  <c r="DI79" i="4"/>
  <c r="DH79" i="4"/>
  <c r="DG79" i="4"/>
  <c r="DE79" i="4"/>
  <c r="DD79" i="4"/>
  <c r="DC79" i="4"/>
  <c r="DB79" i="4"/>
  <c r="DA79" i="4"/>
  <c r="CZ79" i="4"/>
  <c r="CY79" i="4"/>
  <c r="CX79" i="4"/>
  <c r="CW79" i="4"/>
  <c r="CV79" i="4"/>
  <c r="CU79" i="4"/>
  <c r="CT79" i="4"/>
  <c r="CS79" i="4"/>
  <c r="CR79" i="4"/>
  <c r="CQ79" i="4"/>
  <c r="BT79" i="4"/>
  <c r="BS79" i="4" s="1"/>
  <c r="CO79" i="4" s="1"/>
  <c r="BR79" i="4"/>
  <c r="BQ79" i="4"/>
  <c r="BN79" i="4"/>
  <c r="BM79" i="4"/>
  <c r="BL79" i="4"/>
  <c r="BK79" i="4"/>
  <c r="BJ79" i="4"/>
  <c r="BI79" i="4"/>
  <c r="BH79" i="4"/>
  <c r="BG79" i="4"/>
  <c r="BF79" i="4"/>
  <c r="BE79" i="4"/>
  <c r="BD79" i="4"/>
  <c r="BB79" i="4"/>
  <c r="BA79" i="4"/>
  <c r="AZ79" i="4"/>
  <c r="AH79" i="4"/>
  <c r="G79" i="4"/>
  <c r="DI78" i="4"/>
  <c r="DH78" i="4"/>
  <c r="DG78" i="4"/>
  <c r="DE78" i="4"/>
  <c r="DD78" i="4"/>
  <c r="DC78" i="4"/>
  <c r="DB78" i="4"/>
  <c r="DA78" i="4"/>
  <c r="CZ78" i="4"/>
  <c r="CY78" i="4"/>
  <c r="CX78" i="4"/>
  <c r="CW78" i="4"/>
  <c r="CV78" i="4"/>
  <c r="CU78" i="4"/>
  <c r="CS78" i="4"/>
  <c r="CR78" i="4"/>
  <c r="CQ78" i="4"/>
  <c r="BY78" i="4"/>
  <c r="BT78" i="4" s="1"/>
  <c r="DN78" i="4" s="1"/>
  <c r="BR78" i="4"/>
  <c r="BQ78" i="4"/>
  <c r="BN78" i="4"/>
  <c r="BM78" i="4"/>
  <c r="BL78" i="4"/>
  <c r="BK78" i="4"/>
  <c r="BJ78" i="4"/>
  <c r="BI78" i="4"/>
  <c r="BH78" i="4"/>
  <c r="BG78" i="4"/>
  <c r="BF78" i="4"/>
  <c r="BE78" i="4"/>
  <c r="BD78" i="4"/>
  <c r="BB78" i="4"/>
  <c r="BA78" i="4"/>
  <c r="AZ78" i="4"/>
  <c r="AH78" i="4"/>
  <c r="BC78" i="4" s="1"/>
  <c r="G78" i="4"/>
  <c r="DI77" i="4"/>
  <c r="DE77" i="4"/>
  <c r="DD77" i="4"/>
  <c r="DC77" i="4"/>
  <c r="DB77" i="4"/>
  <c r="DA77" i="4"/>
  <c r="CZ77" i="4"/>
  <c r="CS77" i="4"/>
  <c r="CR77" i="4"/>
  <c r="CQ77" i="4"/>
  <c r="BY77" i="4"/>
  <c r="BT77" i="4" s="1"/>
  <c r="DN77" i="4" s="1"/>
  <c r="BR77" i="4"/>
  <c r="BQ77" i="4"/>
  <c r="BN77" i="4"/>
  <c r="BM77" i="4"/>
  <c r="BL77" i="4"/>
  <c r="BK77" i="4"/>
  <c r="BJ77" i="4"/>
  <c r="BI77" i="4"/>
  <c r="BB77" i="4"/>
  <c r="BA77" i="4"/>
  <c r="AZ77" i="4"/>
  <c r="AH77" i="4"/>
  <c r="AC77" i="4" s="1"/>
  <c r="AB77" i="4" s="1"/>
  <c r="AX77" i="4" s="1"/>
  <c r="G77" i="4"/>
  <c r="DI76" i="4"/>
  <c r="DE76" i="4"/>
  <c r="DD76" i="4"/>
  <c r="DC76" i="4"/>
  <c r="DB76" i="4"/>
  <c r="DA76" i="4"/>
  <c r="CZ76" i="4"/>
  <c r="CS76" i="4"/>
  <c r="CR76" i="4"/>
  <c r="CQ76" i="4"/>
  <c r="BT76" i="4"/>
  <c r="BR76" i="4"/>
  <c r="BQ76" i="4"/>
  <c r="BN76" i="4"/>
  <c r="BM76" i="4"/>
  <c r="BL76" i="4"/>
  <c r="BK76" i="4"/>
  <c r="BJ76" i="4"/>
  <c r="BI76" i="4"/>
  <c r="BB76" i="4"/>
  <c r="BA76" i="4"/>
  <c r="AZ76" i="4"/>
  <c r="AH76" i="4"/>
  <c r="K76" i="4"/>
  <c r="DI75" i="4"/>
  <c r="DE75" i="4"/>
  <c r="DD75" i="4"/>
  <c r="DC75" i="4"/>
  <c r="DB75" i="4"/>
  <c r="DA75" i="4"/>
  <c r="CZ75" i="4"/>
  <c r="CT75" i="4"/>
  <c r="CS75" i="4"/>
  <c r="CR75" i="4"/>
  <c r="CQ75" i="4"/>
  <c r="BT75" i="4"/>
  <c r="BR75" i="4"/>
  <c r="BQ75" i="4"/>
  <c r="BN75" i="4"/>
  <c r="BM75" i="4"/>
  <c r="BK75" i="4"/>
  <c r="BJ75" i="4"/>
  <c r="BI75" i="4"/>
  <c r="BC75" i="4"/>
  <c r="BB75" i="4"/>
  <c r="BA75" i="4"/>
  <c r="AZ75" i="4"/>
  <c r="AY75" i="4" s="1"/>
  <c r="AC75" i="4"/>
  <c r="AB75" i="4"/>
  <c r="AX75" i="4" s="1"/>
  <c r="G75" i="4"/>
  <c r="DI74" i="4"/>
  <c r="DE74" i="4"/>
  <c r="DD74" i="4"/>
  <c r="DC74" i="4"/>
  <c r="DB74" i="4"/>
  <c r="DA74" i="4"/>
  <c r="CZ74" i="4"/>
  <c r="CT74" i="4"/>
  <c r="CS74" i="4"/>
  <c r="CR74" i="4"/>
  <c r="CQ74" i="4"/>
  <c r="BT74" i="4"/>
  <c r="BR74" i="4"/>
  <c r="BQ74" i="4"/>
  <c r="BN74" i="4"/>
  <c r="BM74" i="4"/>
  <c r="BK74" i="4"/>
  <c r="BJ74" i="4"/>
  <c r="BI74" i="4"/>
  <c r="BC74" i="4"/>
  <c r="BB74" i="4"/>
  <c r="BA74" i="4"/>
  <c r="AZ74" i="4"/>
  <c r="AC74" i="4"/>
  <c r="G74" i="4"/>
  <c r="DH73" i="4"/>
  <c r="DG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R73" i="4"/>
  <c r="CQ73" i="4"/>
  <c r="CN73" i="4"/>
  <c r="BT73" i="4" s="1"/>
  <c r="DN73" i="4" s="1"/>
  <c r="BQ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W73" i="4"/>
  <c r="AC73" i="4" s="1"/>
  <c r="Z73" i="4"/>
  <c r="G73" i="4"/>
  <c r="DI72" i="4"/>
  <c r="DH72" i="4"/>
  <c r="DG72" i="4"/>
  <c r="DE72" i="4"/>
  <c r="DD72" i="4"/>
  <c r="DC72" i="4"/>
  <c r="DB72" i="4"/>
  <c r="DA72" i="4"/>
  <c r="CZ72" i="4"/>
  <c r="CY72" i="4"/>
  <c r="CX72" i="4"/>
  <c r="CW72" i="4"/>
  <c r="CV72" i="4"/>
  <c r="CU72" i="4"/>
  <c r="CS72" i="4"/>
  <c r="CR72" i="4"/>
  <c r="CQ72" i="4"/>
  <c r="BY72" i="4"/>
  <c r="CT72" i="4" s="1"/>
  <c r="BR72" i="4"/>
  <c r="BQ72" i="4"/>
  <c r="BN72" i="4"/>
  <c r="BM72" i="4"/>
  <c r="BL72" i="4"/>
  <c r="BK72" i="4"/>
  <c r="BJ72" i="4"/>
  <c r="BI72" i="4"/>
  <c r="BH72" i="4"/>
  <c r="BG72" i="4"/>
  <c r="BF72" i="4"/>
  <c r="BE72" i="4"/>
  <c r="BD72" i="4"/>
  <c r="BC72" i="4"/>
  <c r="BB72" i="4"/>
  <c r="BA72" i="4"/>
  <c r="AZ72" i="4"/>
  <c r="AH72" i="4"/>
  <c r="AC72" i="4" s="1"/>
  <c r="AB72" i="4" s="1"/>
  <c r="AX72" i="4" s="1"/>
  <c r="G72" i="4"/>
  <c r="DI71" i="4"/>
  <c r="DH71" i="4"/>
  <c r="DG71" i="4"/>
  <c r="DE71" i="4"/>
  <c r="DD71" i="4"/>
  <c r="DC71" i="4"/>
  <c r="DB71" i="4"/>
  <c r="DA71" i="4"/>
  <c r="CZ71" i="4"/>
  <c r="CY71" i="4"/>
  <c r="CX71" i="4"/>
  <c r="CW71" i="4"/>
  <c r="CV71" i="4"/>
  <c r="CU71" i="4"/>
  <c r="CS71" i="4"/>
  <c r="CR71" i="4"/>
  <c r="CQ71" i="4"/>
  <c r="BT71" i="4"/>
  <c r="BR71" i="4"/>
  <c r="BQ71" i="4"/>
  <c r="BN71" i="4"/>
  <c r="BM71" i="4"/>
  <c r="BL71" i="4"/>
  <c r="BK71" i="4"/>
  <c r="BJ71" i="4"/>
  <c r="BI71" i="4"/>
  <c r="BH71" i="4"/>
  <c r="BG71" i="4"/>
  <c r="BF71" i="4"/>
  <c r="BE71" i="4"/>
  <c r="BD71" i="4"/>
  <c r="BB71" i="4"/>
  <c r="BA71" i="4"/>
  <c r="AZ71" i="4"/>
  <c r="AC71" i="4"/>
  <c r="K71" i="4"/>
  <c r="CT71" i="4" s="1"/>
  <c r="DI70" i="4"/>
  <c r="DH70" i="4"/>
  <c r="DG70" i="4"/>
  <c r="DE70" i="4"/>
  <c r="DD70" i="4"/>
  <c r="DC70" i="4"/>
  <c r="DB70" i="4"/>
  <c r="DA70" i="4"/>
  <c r="CZ70" i="4"/>
  <c r="CY70" i="4"/>
  <c r="CX70" i="4"/>
  <c r="CW70" i="4"/>
  <c r="CV70" i="4"/>
  <c r="CU70" i="4"/>
  <c r="CS70" i="4"/>
  <c r="CR70" i="4"/>
  <c r="CQ70" i="4"/>
  <c r="BY70" i="4"/>
  <c r="BT70" i="4" s="1"/>
  <c r="DN70" i="4" s="1"/>
  <c r="BR70" i="4"/>
  <c r="BQ70" i="4"/>
  <c r="BP70" i="4"/>
  <c r="BN70" i="4"/>
  <c r="BM70" i="4"/>
  <c r="BL70" i="4"/>
  <c r="BK70" i="4"/>
  <c r="BJ70" i="4"/>
  <c r="BI70" i="4"/>
  <c r="BH70" i="4"/>
  <c r="BG70" i="4"/>
  <c r="BF70" i="4"/>
  <c r="BE70" i="4"/>
  <c r="BD70" i="4"/>
  <c r="BB70" i="4"/>
  <c r="BA70" i="4"/>
  <c r="AZ70" i="4"/>
  <c r="AH70" i="4"/>
  <c r="BC70" i="4" s="1"/>
  <c r="G70" i="4"/>
  <c r="DI69" i="4"/>
  <c r="DH69" i="4"/>
  <c r="DG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/>
  <c r="BT69" i="4"/>
  <c r="BR69" i="4"/>
  <c r="BQ69" i="4"/>
  <c r="BP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C69" i="4"/>
  <c r="G69" i="4"/>
  <c r="DH68" i="4"/>
  <c r="DG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CQ68" i="4"/>
  <c r="CN68" i="4"/>
  <c r="DI68" i="4" s="1"/>
  <c r="BT68" i="4"/>
  <c r="DN68" i="4" s="1"/>
  <c r="BQ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W68" i="4"/>
  <c r="Z68" i="4"/>
  <c r="G68" i="4"/>
  <c r="DI67" i="4"/>
  <c r="DH67" i="4"/>
  <c r="DG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Q67" i="4"/>
  <c r="BT67" i="4"/>
  <c r="BQ67" i="4"/>
  <c r="BP67" i="4"/>
  <c r="BN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C67" i="4"/>
  <c r="Z67" i="4"/>
  <c r="BR67" i="4" s="1"/>
  <c r="G67" i="4"/>
  <c r="DH66" i="4"/>
  <c r="DG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S66" i="4"/>
  <c r="CR66" i="4"/>
  <c r="CQ66" i="4"/>
  <c r="CN66" i="4"/>
  <c r="DI66" i="4" s="1"/>
  <c r="BQ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W66" i="4"/>
  <c r="BR66" i="4" s="1"/>
  <c r="G66" i="4"/>
  <c r="DH65" i="4"/>
  <c r="DG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Q65" i="4"/>
  <c r="CN65" i="4"/>
  <c r="BT65" i="4" s="1"/>
  <c r="DN65" i="4" s="1"/>
  <c r="BQ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W65" i="4"/>
  <c r="AC65" i="4" s="1"/>
  <c r="AB65" i="4" s="1"/>
  <c r="AX65" i="4" s="1"/>
  <c r="Z65" i="4"/>
  <c r="G65" i="4" s="1"/>
  <c r="DI64" i="4"/>
  <c r="DH64" i="4"/>
  <c r="DG64" i="4"/>
  <c r="DE64" i="4"/>
  <c r="DD64" i="4"/>
  <c r="DC64" i="4"/>
  <c r="DB64" i="4"/>
  <c r="CZ64" i="4"/>
  <c r="CY64" i="4"/>
  <c r="CX64" i="4"/>
  <c r="CW64" i="4"/>
  <c r="CV64" i="4"/>
  <c r="CU64" i="4"/>
  <c r="CS64" i="4"/>
  <c r="CR64" i="4"/>
  <c r="CQ64" i="4"/>
  <c r="CF64" i="4"/>
  <c r="CF91" i="4" s="1"/>
  <c r="BR64" i="4"/>
  <c r="BQ64" i="4"/>
  <c r="BN64" i="4"/>
  <c r="BM64" i="4"/>
  <c r="BL64" i="4"/>
  <c r="BK64" i="4"/>
  <c r="BI64" i="4"/>
  <c r="BH64" i="4"/>
  <c r="BG64" i="4"/>
  <c r="BF64" i="4"/>
  <c r="BE64" i="4"/>
  <c r="BD64" i="4"/>
  <c r="BB64" i="4"/>
  <c r="BA64" i="4"/>
  <c r="AZ64" i="4"/>
  <c r="AO64" i="4"/>
  <c r="AH64" i="4"/>
  <c r="R64" i="4"/>
  <c r="R137" i="4" s="1"/>
  <c r="K64" i="4"/>
  <c r="G64" i="4"/>
  <c r="DI63" i="4"/>
  <c r="DH63" i="4"/>
  <c r="DG63" i="4"/>
  <c r="DE63" i="4"/>
  <c r="DD63" i="4"/>
  <c r="DC63" i="4"/>
  <c r="DB63" i="4"/>
  <c r="DA63" i="4"/>
  <c r="CZ63" i="4"/>
  <c r="CY63" i="4"/>
  <c r="CX63" i="4"/>
  <c r="CW63" i="4"/>
  <c r="CV63" i="4"/>
  <c r="CU63" i="4"/>
  <c r="CS63" i="4"/>
  <c r="CR63" i="4"/>
  <c r="CQ63" i="4"/>
  <c r="BY63" i="4"/>
  <c r="BT63" i="4"/>
  <c r="DN63" i="4" s="1"/>
  <c r="BR63" i="4"/>
  <c r="BQ63" i="4"/>
  <c r="BN63" i="4"/>
  <c r="BM63" i="4"/>
  <c r="BL63" i="4"/>
  <c r="BJ63" i="4"/>
  <c r="BI63" i="4"/>
  <c r="BH63" i="4"/>
  <c r="BG63" i="4"/>
  <c r="BF63" i="4"/>
  <c r="BE63" i="4"/>
  <c r="BD63" i="4"/>
  <c r="BB63" i="4"/>
  <c r="BA63" i="4"/>
  <c r="AZ63" i="4"/>
  <c r="AH63" i="4"/>
  <c r="S63" i="4"/>
  <c r="K63" i="4"/>
  <c r="DI62" i="4"/>
  <c r="DH62" i="4"/>
  <c r="DG62" i="4"/>
  <c r="DE62" i="4"/>
  <c r="DD62" i="4"/>
  <c r="DC62" i="4"/>
  <c r="DA62" i="4"/>
  <c r="CZ62" i="4"/>
  <c r="CY62" i="4"/>
  <c r="CX62" i="4"/>
  <c r="CW62" i="4"/>
  <c r="CV62" i="4"/>
  <c r="CU62" i="4"/>
  <c r="CT62" i="4"/>
  <c r="CS62" i="4"/>
  <c r="CR62" i="4"/>
  <c r="CQ62" i="4"/>
  <c r="CG62" i="4"/>
  <c r="DB62" i="4" s="1"/>
  <c r="BR62" i="4"/>
  <c r="BQ62" i="4"/>
  <c r="BP62" i="4"/>
  <c r="BN62" i="4"/>
  <c r="BM62" i="4"/>
  <c r="BL62" i="4"/>
  <c r="BJ62" i="4"/>
  <c r="BI62" i="4"/>
  <c r="BH62" i="4"/>
  <c r="BG62" i="4"/>
  <c r="BF62" i="4"/>
  <c r="BE62" i="4"/>
  <c r="BD62" i="4"/>
  <c r="BC62" i="4"/>
  <c r="BB62" i="4"/>
  <c r="BA62" i="4"/>
  <c r="AZ62" i="4"/>
  <c r="AP62" i="4"/>
  <c r="AC62" i="4" s="1"/>
  <c r="G62" i="4"/>
  <c r="DH61" i="4"/>
  <c r="DG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S61" i="4"/>
  <c r="CR61" i="4"/>
  <c r="CQ61" i="4"/>
  <c r="CN61" i="4"/>
  <c r="DI61" i="4" s="1"/>
  <c r="BQ61" i="4"/>
  <c r="BN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BA61" i="4"/>
  <c r="AZ61" i="4"/>
  <c r="AW61" i="4"/>
  <c r="G61" i="4"/>
  <c r="DH60" i="4"/>
  <c r="DG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R60" i="4"/>
  <c r="CQ60" i="4"/>
  <c r="CN60" i="4"/>
  <c r="BT60" i="4" s="1"/>
  <c r="DN60" i="4" s="1"/>
  <c r="BQ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Z60" i="4"/>
  <c r="AW60" i="4"/>
  <c r="AC60" i="4" s="1"/>
  <c r="Z60" i="4"/>
  <c r="BR60" i="4" s="1"/>
  <c r="G60" i="4"/>
  <c r="DH59" i="4"/>
  <c r="DG59" i="4"/>
  <c r="DE59" i="4"/>
  <c r="DD59" i="4"/>
  <c r="DC59" i="4"/>
  <c r="DB59" i="4"/>
  <c r="DA59" i="4"/>
  <c r="CZ59" i="4"/>
  <c r="CY59" i="4"/>
  <c r="CX59" i="4"/>
  <c r="CW59" i="4"/>
  <c r="CV59" i="4"/>
  <c r="CT59" i="4"/>
  <c r="CS59" i="4"/>
  <c r="CR59" i="4"/>
  <c r="CQ59" i="4"/>
  <c r="CN59" i="4"/>
  <c r="BZ59" i="4"/>
  <c r="BQ59" i="4"/>
  <c r="BN59" i="4"/>
  <c r="BM59" i="4"/>
  <c r="BL59" i="4"/>
  <c r="BK59" i="4"/>
  <c r="BJ59" i="4"/>
  <c r="BI59" i="4"/>
  <c r="BH59" i="4"/>
  <c r="BG59" i="4"/>
  <c r="BF59" i="4"/>
  <c r="BE59" i="4"/>
  <c r="BC59" i="4"/>
  <c r="BB59" i="4"/>
  <c r="BA59" i="4"/>
  <c r="AZ59" i="4"/>
  <c r="AW59" i="4"/>
  <c r="AI59" i="4"/>
  <c r="AI137" i="4" s="1"/>
  <c r="Z59" i="4"/>
  <c r="BR59" i="4" s="1"/>
  <c r="L59" i="4"/>
  <c r="G59" i="4" s="1"/>
  <c r="CL58" i="4"/>
  <c r="CK58" i="4"/>
  <c r="CK130" i="4" s="1"/>
  <c r="CJ58" i="4"/>
  <c r="CH58" i="4"/>
  <c r="CE58" i="4"/>
  <c r="CD58" i="4"/>
  <c r="CC58" i="4"/>
  <c r="CB58" i="4"/>
  <c r="CA58" i="4"/>
  <c r="BZ58" i="4"/>
  <c r="BY58" i="4"/>
  <c r="BX58" i="4"/>
  <c r="BV58" i="4"/>
  <c r="BU58" i="4"/>
  <c r="AU58" i="4"/>
  <c r="AS58" i="4"/>
  <c r="AQ58" i="4"/>
  <c r="AN58" i="4"/>
  <c r="AM58" i="4"/>
  <c r="AL58" i="4"/>
  <c r="AK58" i="4"/>
  <c r="AJ58" i="4"/>
  <c r="AH58" i="4"/>
  <c r="AG58" i="4"/>
  <c r="AE58" i="4"/>
  <c r="X58" i="4"/>
  <c r="V58" i="4"/>
  <c r="T58" i="4"/>
  <c r="S58" i="4"/>
  <c r="Q58" i="4"/>
  <c r="P58" i="4"/>
  <c r="O58" i="4"/>
  <c r="N58" i="4"/>
  <c r="M58" i="4"/>
  <c r="K58" i="4"/>
  <c r="J58" i="4"/>
  <c r="H58" i="4"/>
  <c r="DH57" i="4"/>
  <c r="DG57" i="4"/>
  <c r="DE57" i="4"/>
  <c r="DD57" i="4"/>
  <c r="DC57" i="4"/>
  <c r="DB57" i="4"/>
  <c r="DA57" i="4"/>
  <c r="CZ57" i="4"/>
  <c r="CY57" i="4"/>
  <c r="CX57" i="4"/>
  <c r="CW57" i="4"/>
  <c r="CV57" i="4"/>
  <c r="CU57" i="4"/>
  <c r="CT57" i="4"/>
  <c r="CS57" i="4"/>
  <c r="CR57" i="4"/>
  <c r="CQ57" i="4"/>
  <c r="CN57" i="4"/>
  <c r="DI57" i="4" s="1"/>
  <c r="BQ57" i="4"/>
  <c r="BN57" i="4"/>
  <c r="BM57" i="4"/>
  <c r="BL57" i="4"/>
  <c r="BK57" i="4"/>
  <c r="BJ57" i="4"/>
  <c r="BI57" i="4"/>
  <c r="BH57" i="4"/>
  <c r="BG57" i="4"/>
  <c r="BF57" i="4"/>
  <c r="BE57" i="4"/>
  <c r="BD57" i="4"/>
  <c r="BC57" i="4"/>
  <c r="BB57" i="4"/>
  <c r="BA57" i="4"/>
  <c r="AZ57" i="4"/>
  <c r="AW57" i="4"/>
  <c r="AC57" i="4" s="1"/>
  <c r="Z57" i="4"/>
  <c r="G57" i="4" s="1"/>
  <c r="DI56" i="4"/>
  <c r="DH56" i="4"/>
  <c r="DG56" i="4"/>
  <c r="DE56" i="4"/>
  <c r="DC56" i="4"/>
  <c r="DB56" i="4"/>
  <c r="DA56" i="4"/>
  <c r="CZ56" i="4"/>
  <c r="CY56" i="4"/>
  <c r="CX56" i="4"/>
  <c r="CW56" i="4"/>
  <c r="CV56" i="4"/>
  <c r="CT56" i="4"/>
  <c r="CS56" i="4"/>
  <c r="CR56" i="4"/>
  <c r="CQ56" i="4"/>
  <c r="CI56" i="4"/>
  <c r="DD56" i="4" s="1"/>
  <c r="BR56" i="4"/>
  <c r="BQ56" i="4"/>
  <c r="BN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R56" i="4"/>
  <c r="BM56" i="4" s="1"/>
  <c r="AI56" i="4"/>
  <c r="L56" i="4"/>
  <c r="CU56" i="4" s="1"/>
  <c r="G56" i="4"/>
  <c r="DI55" i="4"/>
  <c r="DH55" i="4"/>
  <c r="DG55" i="4"/>
  <c r="DE55" i="4"/>
  <c r="DD55" i="4"/>
  <c r="DC55" i="4"/>
  <c r="DB55" i="4"/>
  <c r="DA55" i="4"/>
  <c r="CZ55" i="4"/>
  <c r="CY55" i="4"/>
  <c r="CX55" i="4"/>
  <c r="CW55" i="4"/>
  <c r="CV55" i="4"/>
  <c r="CU55" i="4"/>
  <c r="CT55" i="4"/>
  <c r="CS55" i="4"/>
  <c r="CR55" i="4"/>
  <c r="CQ55" i="4"/>
  <c r="BT55" i="4"/>
  <c r="BR55" i="4"/>
  <c r="BQ55" i="4"/>
  <c r="BN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Z55" i="4"/>
  <c r="AR55" i="4"/>
  <c r="G55" i="4"/>
  <c r="DI54" i="4"/>
  <c r="DH54" i="4"/>
  <c r="DG54" i="4"/>
  <c r="DE54" i="4"/>
  <c r="DC54" i="4"/>
  <c r="DB54" i="4"/>
  <c r="DA54" i="4"/>
  <c r="CZ54" i="4"/>
  <c r="CY54" i="4"/>
  <c r="CX54" i="4"/>
  <c r="CW54" i="4"/>
  <c r="CV54" i="4"/>
  <c r="CU54" i="4"/>
  <c r="CT54" i="4"/>
  <c r="CS54" i="4"/>
  <c r="CQ54" i="4"/>
  <c r="CI54" i="4"/>
  <c r="DD54" i="4" s="1"/>
  <c r="BW54" i="4"/>
  <c r="BR54" i="4"/>
  <c r="BQ54" i="4"/>
  <c r="BN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AZ54" i="4"/>
  <c r="AF54" i="4"/>
  <c r="BA54" i="4" s="1"/>
  <c r="I54" i="4"/>
  <c r="DI53" i="4"/>
  <c r="DH53" i="4"/>
  <c r="DG53" i="4"/>
  <c r="DE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I53" i="4"/>
  <c r="DD53" i="4" s="1"/>
  <c r="BR53" i="4"/>
  <c r="BQ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C53" i="4"/>
  <c r="G53" i="4"/>
  <c r="DH52" i="4"/>
  <c r="DG52" i="4"/>
  <c r="DE52" i="4"/>
  <c r="DD52" i="4"/>
  <c r="DC52" i="4"/>
  <c r="DB52" i="4"/>
  <c r="DA52" i="4"/>
  <c r="CZ52" i="4"/>
  <c r="CY52" i="4"/>
  <c r="CX52" i="4"/>
  <c r="CW52" i="4"/>
  <c r="CV52" i="4"/>
  <c r="CU52" i="4"/>
  <c r="CT52" i="4"/>
  <c r="CS52" i="4"/>
  <c r="CQ52" i="4"/>
  <c r="BW52" i="4"/>
  <c r="CR52" i="4" s="1"/>
  <c r="BQ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W52" i="4"/>
  <c r="AC52" i="4"/>
  <c r="Z52" i="4"/>
  <c r="DH51" i="4"/>
  <c r="DG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Q51" i="4"/>
  <c r="CN51" i="4"/>
  <c r="DI51" i="4" s="1"/>
  <c r="BQ51" i="4"/>
  <c r="BN51" i="4"/>
  <c r="BM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W51" i="4"/>
  <c r="BR51" i="4" s="1"/>
  <c r="AC51" i="4"/>
  <c r="G51" i="4"/>
  <c r="DI50" i="4"/>
  <c r="DH50" i="4"/>
  <c r="DG50" i="4"/>
  <c r="DE50" i="4"/>
  <c r="DC50" i="4"/>
  <c r="DB50" i="4"/>
  <c r="DA50" i="4"/>
  <c r="CZ50" i="4"/>
  <c r="CY50" i="4"/>
  <c r="CX50" i="4"/>
  <c r="CW50" i="4"/>
  <c r="CV50" i="4"/>
  <c r="CU50" i="4"/>
  <c r="CT50" i="4"/>
  <c r="CS50" i="4"/>
  <c r="CQ50" i="4"/>
  <c r="CI50" i="4"/>
  <c r="BT50" i="4" s="1"/>
  <c r="DN50" i="4" s="1"/>
  <c r="BR50" i="4"/>
  <c r="BQ50" i="4"/>
  <c r="BN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R50" i="4"/>
  <c r="AF50" i="4"/>
  <c r="U50" i="4"/>
  <c r="I50" i="4"/>
  <c r="CR50" i="4" s="1"/>
  <c r="DI49" i="4"/>
  <c r="DH49" i="4"/>
  <c r="DG49" i="4"/>
  <c r="DE49" i="4"/>
  <c r="DD49" i="4"/>
  <c r="DC49" i="4"/>
  <c r="DB49" i="4"/>
  <c r="DA49" i="4"/>
  <c r="CZ49" i="4"/>
  <c r="CY49" i="4"/>
  <c r="CX49" i="4"/>
  <c r="CW49" i="4"/>
  <c r="CV49" i="4"/>
  <c r="CU49" i="4"/>
  <c r="CT49" i="4"/>
  <c r="CS49" i="4"/>
  <c r="CQ49" i="4"/>
  <c r="BW49" i="4"/>
  <c r="BT49" i="4" s="1"/>
  <c r="DN49" i="4" s="1"/>
  <c r="BR49" i="4"/>
  <c r="BQ49" i="4"/>
  <c r="BN49" i="4"/>
  <c r="BM49" i="4"/>
  <c r="BK49" i="4"/>
  <c r="BJ49" i="4"/>
  <c r="BI49" i="4"/>
  <c r="BH49" i="4"/>
  <c r="BG49" i="4"/>
  <c r="BF49" i="4"/>
  <c r="BE49" i="4"/>
  <c r="BD49" i="4"/>
  <c r="BC49" i="4"/>
  <c r="BB49" i="4"/>
  <c r="AZ49" i="4"/>
  <c r="AF49" i="4"/>
  <c r="BA49" i="4" s="1"/>
  <c r="G49" i="4"/>
  <c r="DI48" i="4"/>
  <c r="DG48" i="4"/>
  <c r="DE48" i="4"/>
  <c r="DD48" i="4"/>
  <c r="DC48" i="4"/>
  <c r="DB48" i="4"/>
  <c r="DA48" i="4"/>
  <c r="CZ48" i="4"/>
  <c r="CY48" i="4"/>
  <c r="CX48" i="4"/>
  <c r="CW48" i="4"/>
  <c r="CV48" i="4"/>
  <c r="CU48" i="4"/>
  <c r="CT48" i="4"/>
  <c r="CS48" i="4"/>
  <c r="CQ48" i="4"/>
  <c r="CM48" i="4"/>
  <c r="DH48" i="4" s="1"/>
  <c r="BW48" i="4"/>
  <c r="CR48" i="4" s="1"/>
  <c r="BR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AZ48" i="4"/>
  <c r="AV48" i="4"/>
  <c r="BQ48" i="4" s="1"/>
  <c r="AF48" i="4"/>
  <c r="AC48" i="4" s="1"/>
  <c r="G48" i="4"/>
  <c r="DI47" i="4"/>
  <c r="DH47" i="4"/>
  <c r="DG47" i="4"/>
  <c r="DE47" i="4"/>
  <c r="DC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I47" i="4"/>
  <c r="DD47" i="4" s="1"/>
  <c r="BQ47" i="4"/>
  <c r="BN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R47" i="4"/>
  <c r="BM47" i="4" s="1"/>
  <c r="AC47" i="4"/>
  <c r="Z47" i="4"/>
  <c r="BR47" i="4" s="1"/>
  <c r="DI46" i="4"/>
  <c r="DH46" i="4"/>
  <c r="DG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S46" i="4"/>
  <c r="CR46" i="4"/>
  <c r="CQ46" i="4"/>
  <c r="BT46" i="4"/>
  <c r="BS46" i="4" s="1"/>
  <c r="CO46" i="4" s="1"/>
  <c r="BR46" i="4"/>
  <c r="BQ46" i="4"/>
  <c r="BN46" i="4"/>
  <c r="BK46" i="4"/>
  <c r="BJ46" i="4"/>
  <c r="BI46" i="4"/>
  <c r="BH46" i="4"/>
  <c r="BG46" i="4"/>
  <c r="BF46" i="4"/>
  <c r="BE46" i="4"/>
  <c r="BD46" i="4"/>
  <c r="BC46" i="4"/>
  <c r="BB46" i="4"/>
  <c r="BA46" i="4"/>
  <c r="AZ46" i="4"/>
  <c r="AR46" i="4"/>
  <c r="BM46" i="4" s="1"/>
  <c r="AC46" i="4"/>
  <c r="G46" i="4"/>
  <c r="DI45" i="4"/>
  <c r="DH45" i="4"/>
  <c r="DG45" i="4"/>
  <c r="DE45" i="4"/>
  <c r="DC45" i="4"/>
  <c r="DB45" i="4"/>
  <c r="DA45" i="4"/>
  <c r="CZ45" i="4"/>
  <c r="CY45" i="4"/>
  <c r="CX45" i="4"/>
  <c r="CW45" i="4"/>
  <c r="CV45" i="4"/>
  <c r="CU45" i="4"/>
  <c r="CT45" i="4"/>
  <c r="CS45" i="4"/>
  <c r="CR45" i="4"/>
  <c r="CQ45" i="4"/>
  <c r="CI45" i="4"/>
  <c r="DD45" i="4" s="1"/>
  <c r="BR45" i="4"/>
  <c r="BQ45" i="4"/>
  <c r="BN45" i="4"/>
  <c r="BL45" i="4"/>
  <c r="BK45" i="4"/>
  <c r="BJ45" i="4"/>
  <c r="BI45" i="4"/>
  <c r="BH45" i="4"/>
  <c r="BG45" i="4"/>
  <c r="BF45" i="4"/>
  <c r="BE45" i="4"/>
  <c r="BD45" i="4"/>
  <c r="BC45" i="4"/>
  <c r="BB45" i="4"/>
  <c r="BA45" i="4"/>
  <c r="AZ45" i="4"/>
  <c r="AR45" i="4"/>
  <c r="BM45" i="4" s="1"/>
  <c r="G45" i="4"/>
  <c r="DI44" i="4"/>
  <c r="DH44" i="4"/>
  <c r="DG44" i="4"/>
  <c r="DE44" i="4"/>
  <c r="DC44" i="4"/>
  <c r="DB44" i="4"/>
  <c r="DA44" i="4"/>
  <c r="CZ44" i="4"/>
  <c r="CY44" i="4"/>
  <c r="CX44" i="4"/>
  <c r="CW44" i="4"/>
  <c r="CV44" i="4"/>
  <c r="CU44" i="4"/>
  <c r="CT44" i="4"/>
  <c r="CS44" i="4"/>
  <c r="CR44" i="4"/>
  <c r="CQ44" i="4"/>
  <c r="CI44" i="4"/>
  <c r="BT44" i="4" s="1"/>
  <c r="DN44" i="4" s="1"/>
  <c r="BR44" i="4"/>
  <c r="BQ44" i="4"/>
  <c r="BP44" i="4"/>
  <c r="BN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R44" i="4"/>
  <c r="BM44" i="4" s="1"/>
  <c r="G44" i="4"/>
  <c r="DI43" i="4"/>
  <c r="DH43" i="4"/>
  <c r="DG43" i="4"/>
  <c r="DE43" i="4"/>
  <c r="DC43" i="4"/>
  <c r="DB43" i="4"/>
  <c r="DA43" i="4"/>
  <c r="CZ43" i="4"/>
  <c r="CY43" i="4"/>
  <c r="CX43" i="4"/>
  <c r="CW43" i="4"/>
  <c r="CV43" i="4"/>
  <c r="CU43" i="4"/>
  <c r="CT43" i="4"/>
  <c r="CS43" i="4"/>
  <c r="CR43" i="4"/>
  <c r="CQ43" i="4"/>
  <c r="CI43" i="4"/>
  <c r="BT43" i="4" s="1"/>
  <c r="DN43" i="4" s="1"/>
  <c r="BR43" i="4"/>
  <c r="BQ43" i="4"/>
  <c r="BN43" i="4"/>
  <c r="BK43" i="4"/>
  <c r="BJ43" i="4"/>
  <c r="BI43" i="4"/>
  <c r="BH43" i="4"/>
  <c r="BG43" i="4"/>
  <c r="BF43" i="4"/>
  <c r="BE43" i="4"/>
  <c r="BD43" i="4"/>
  <c r="BC43" i="4"/>
  <c r="BB43" i="4"/>
  <c r="BA43" i="4"/>
  <c r="AZ43" i="4"/>
  <c r="AR43" i="4"/>
  <c r="AC43" i="4" s="1"/>
  <c r="U43" i="4"/>
  <c r="G43" i="4" s="1"/>
  <c r="DI42" i="4"/>
  <c r="DH42" i="4"/>
  <c r="DG42" i="4"/>
  <c r="DE42" i="4"/>
  <c r="DC42" i="4"/>
  <c r="DB42" i="4"/>
  <c r="DA42" i="4"/>
  <c r="CZ42" i="4"/>
  <c r="CY42" i="4"/>
  <c r="CX42" i="4"/>
  <c r="CW42" i="4"/>
  <c r="CV42" i="4"/>
  <c r="CU42" i="4"/>
  <c r="CT42" i="4"/>
  <c r="CS42" i="4"/>
  <c r="CR42" i="4"/>
  <c r="CQ42" i="4"/>
  <c r="CI42" i="4"/>
  <c r="BT42" i="4" s="1"/>
  <c r="DN42" i="4" s="1"/>
  <c r="BR42" i="4"/>
  <c r="BQ42" i="4"/>
  <c r="BP42" i="4"/>
  <c r="BP58" i="4" s="1"/>
  <c r="BN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R42" i="4"/>
  <c r="AC42" i="4" s="1"/>
  <c r="U42" i="4"/>
  <c r="DI41" i="4"/>
  <c r="DH41" i="4"/>
  <c r="DG41" i="4"/>
  <c r="DE41" i="4"/>
  <c r="DD41" i="4"/>
  <c r="DC41" i="4"/>
  <c r="DB41" i="4"/>
  <c r="CZ41" i="4"/>
  <c r="CY41" i="4"/>
  <c r="CX41" i="4"/>
  <c r="CW41" i="4"/>
  <c r="CV41" i="4"/>
  <c r="CU41" i="4"/>
  <c r="CT41" i="4"/>
  <c r="CS41" i="4"/>
  <c r="CR41" i="4"/>
  <c r="CQ41" i="4"/>
  <c r="CF41" i="4"/>
  <c r="BR41" i="4"/>
  <c r="BQ41" i="4"/>
  <c r="BP41" i="4"/>
  <c r="BN41" i="4"/>
  <c r="BM41" i="4"/>
  <c r="BL41" i="4"/>
  <c r="BK41" i="4"/>
  <c r="BI41" i="4"/>
  <c r="BH41" i="4"/>
  <c r="BG41" i="4"/>
  <c r="BF41" i="4"/>
  <c r="BE41" i="4"/>
  <c r="BD41" i="4"/>
  <c r="BC41" i="4"/>
  <c r="BB41" i="4"/>
  <c r="BA41" i="4"/>
  <c r="AZ41" i="4"/>
  <c r="AO41" i="4"/>
  <c r="AO58" i="4" s="1"/>
  <c r="R41" i="4"/>
  <c r="R58" i="4" s="1"/>
  <c r="DH40" i="4"/>
  <c r="DG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CQ40" i="4"/>
  <c r="BT40" i="4"/>
  <c r="BQ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C40" i="4"/>
  <c r="Z40" i="4"/>
  <c r="BR40" i="4" s="1"/>
  <c r="DI39" i="4"/>
  <c r="DG39" i="4"/>
  <c r="DE39" i="4"/>
  <c r="DD39" i="4"/>
  <c r="DC39" i="4"/>
  <c r="DA39" i="4"/>
  <c r="CZ39" i="4"/>
  <c r="CY39" i="4"/>
  <c r="CX39" i="4"/>
  <c r="CW39" i="4"/>
  <c r="CV39" i="4"/>
  <c r="CU39" i="4"/>
  <c r="CT39" i="4"/>
  <c r="CS39" i="4"/>
  <c r="CR39" i="4"/>
  <c r="CQ39" i="4"/>
  <c r="CM39" i="4"/>
  <c r="CG39" i="4"/>
  <c r="BR39" i="4"/>
  <c r="BN39" i="4"/>
  <c r="BM39" i="4"/>
  <c r="BL39" i="4"/>
  <c r="BJ39" i="4"/>
  <c r="BI39" i="4"/>
  <c r="BH39" i="4"/>
  <c r="BG39" i="4"/>
  <c r="BF39" i="4"/>
  <c r="BE39" i="4"/>
  <c r="BD39" i="4"/>
  <c r="BC39" i="4"/>
  <c r="BB39" i="4"/>
  <c r="BA39" i="4"/>
  <c r="AZ39" i="4"/>
  <c r="AV39" i="4"/>
  <c r="AP39" i="4"/>
  <c r="BK39" i="4" s="1"/>
  <c r="Y39" i="4"/>
  <c r="Y135" i="4" s="1"/>
  <c r="G39" i="4"/>
  <c r="DH38" i="4"/>
  <c r="DG38" i="4"/>
  <c r="DE38" i="4"/>
  <c r="DD38" i="4"/>
  <c r="DC38" i="4"/>
  <c r="DA38" i="4"/>
  <c r="CZ38" i="4"/>
  <c r="CY38" i="4"/>
  <c r="CX38" i="4"/>
  <c r="CW38" i="4"/>
  <c r="CV38" i="4"/>
  <c r="CU38" i="4"/>
  <c r="CT38" i="4"/>
  <c r="CS38" i="4"/>
  <c r="CR38" i="4"/>
  <c r="CQ38" i="4"/>
  <c r="CN38" i="4"/>
  <c r="DI38" i="4" s="1"/>
  <c r="CI38" i="4"/>
  <c r="CG38" i="4"/>
  <c r="DB38" i="4" s="1"/>
  <c r="BQ38" i="4"/>
  <c r="BN38" i="4"/>
  <c r="BM38" i="4"/>
  <c r="BL38" i="4"/>
  <c r="BJ38" i="4"/>
  <c r="BI38" i="4"/>
  <c r="BH38" i="4"/>
  <c r="BG38" i="4"/>
  <c r="BF38" i="4"/>
  <c r="BE38" i="4"/>
  <c r="BD38" i="4"/>
  <c r="BC38" i="4"/>
  <c r="BB38" i="4"/>
  <c r="BA38" i="4"/>
  <c r="AZ38" i="4"/>
  <c r="AW38" i="4"/>
  <c r="AR38" i="4"/>
  <c r="AP38" i="4"/>
  <c r="BK38" i="4" s="1"/>
  <c r="Z38" i="4"/>
  <c r="G38" i="4" s="1"/>
  <c r="DI37" i="4"/>
  <c r="DH37" i="4"/>
  <c r="DG37" i="4"/>
  <c r="DE37" i="4"/>
  <c r="DD37" i="4"/>
  <c r="DC37" i="4"/>
  <c r="DA37" i="4"/>
  <c r="CZ37" i="4"/>
  <c r="CY37" i="4"/>
  <c r="CX37" i="4"/>
  <c r="CW37" i="4"/>
  <c r="CV37" i="4"/>
  <c r="CU37" i="4"/>
  <c r="CT37" i="4"/>
  <c r="CS37" i="4"/>
  <c r="CR37" i="4"/>
  <c r="CQ37" i="4"/>
  <c r="CG37" i="4"/>
  <c r="BT37" i="4" s="1"/>
  <c r="DN37" i="4" s="1"/>
  <c r="BR37" i="4"/>
  <c r="BQ37" i="4"/>
  <c r="BN37" i="4"/>
  <c r="BM37" i="4"/>
  <c r="BL37" i="4"/>
  <c r="BJ37" i="4"/>
  <c r="BI37" i="4"/>
  <c r="BH37" i="4"/>
  <c r="BG37" i="4"/>
  <c r="BF37" i="4"/>
  <c r="BE37" i="4"/>
  <c r="BD37" i="4"/>
  <c r="BC37" i="4"/>
  <c r="BB37" i="4"/>
  <c r="BA37" i="4"/>
  <c r="AZ37" i="4"/>
  <c r="AP37" i="4"/>
  <c r="AC37" i="4" s="1"/>
  <c r="G37" i="4"/>
  <c r="BS37" i="4" s="1"/>
  <c r="CO37" i="4" s="1"/>
  <c r="DI36" i="4"/>
  <c r="DH36" i="4"/>
  <c r="DG36" i="4"/>
  <c r="DE36" i="4"/>
  <c r="DC36" i="4"/>
  <c r="DB36" i="4"/>
  <c r="DA36" i="4"/>
  <c r="CZ36" i="4"/>
  <c r="CY36" i="4"/>
  <c r="CX36" i="4"/>
  <c r="CW36" i="4"/>
  <c r="CV36" i="4"/>
  <c r="CU36" i="4"/>
  <c r="CT36" i="4"/>
  <c r="CS36" i="4"/>
  <c r="CR36" i="4"/>
  <c r="CQ36" i="4"/>
  <c r="CI36" i="4"/>
  <c r="BR36" i="4"/>
  <c r="BQ36" i="4"/>
  <c r="BP36" i="4"/>
  <c r="BN36" i="4"/>
  <c r="BL36" i="4"/>
  <c r="BK36" i="4"/>
  <c r="BJ36" i="4"/>
  <c r="BI36" i="4"/>
  <c r="BH36" i="4"/>
  <c r="BG36" i="4"/>
  <c r="BF36" i="4"/>
  <c r="BE36" i="4"/>
  <c r="BD36" i="4"/>
  <c r="BC36" i="4"/>
  <c r="BB36" i="4"/>
  <c r="AY36" i="4" s="1"/>
  <c r="BA36" i="4"/>
  <c r="AZ36" i="4"/>
  <c r="AR36" i="4"/>
  <c r="BM36" i="4" s="1"/>
  <c r="G36" i="4"/>
  <c r="DI35" i="4"/>
  <c r="DH35" i="4"/>
  <c r="DG35" i="4"/>
  <c r="DE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I35" i="4"/>
  <c r="BT35" i="4" s="1"/>
  <c r="DN35" i="4" s="1"/>
  <c r="BR35" i="4"/>
  <c r="BN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R35" i="4"/>
  <c r="AC35" i="4" s="1"/>
  <c r="U35" i="4"/>
  <c r="DI34" i="4"/>
  <c r="DH34" i="4"/>
  <c r="DG34" i="4"/>
  <c r="DE34" i="4"/>
  <c r="DC34" i="4"/>
  <c r="DB34" i="4"/>
  <c r="DA34" i="4"/>
  <c r="CZ34" i="4"/>
  <c r="CY34" i="4"/>
  <c r="CX34" i="4"/>
  <c r="CW34" i="4"/>
  <c r="CV34" i="4"/>
  <c r="CU34" i="4"/>
  <c r="CT34" i="4"/>
  <c r="CS34" i="4"/>
  <c r="CR34" i="4"/>
  <c r="CQ34" i="4"/>
  <c r="CI34" i="4"/>
  <c r="DD34" i="4" s="1"/>
  <c r="BT34" i="4"/>
  <c r="DN34" i="4" s="1"/>
  <c r="BN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W34" i="4"/>
  <c r="BR34" i="4" s="1"/>
  <c r="AR34" i="4"/>
  <c r="BM34" i="4" s="1"/>
  <c r="G34" i="4"/>
  <c r="DI33" i="4"/>
  <c r="DH33" i="4"/>
  <c r="DG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S33" i="4"/>
  <c r="CR33" i="4"/>
  <c r="CQ33" i="4"/>
  <c r="CI33" i="4"/>
  <c r="BT33" i="4"/>
  <c r="DN33" i="4" s="1"/>
  <c r="BR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R33" i="4"/>
  <c r="AC33" i="4"/>
  <c r="G33" i="4"/>
  <c r="DI32" i="4"/>
  <c r="DH32" i="4"/>
  <c r="DG32" i="4"/>
  <c r="DE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CQ32" i="4"/>
  <c r="CI32" i="4"/>
  <c r="BR32" i="4"/>
  <c r="BN32" i="4"/>
  <c r="BK32" i="4"/>
  <c r="BJ32" i="4"/>
  <c r="BI32" i="4"/>
  <c r="BH32" i="4"/>
  <c r="BG32" i="4"/>
  <c r="BF32" i="4"/>
  <c r="BE32" i="4"/>
  <c r="BD32" i="4"/>
  <c r="BC32" i="4"/>
  <c r="BB32" i="4"/>
  <c r="BA32" i="4"/>
  <c r="AZ32" i="4"/>
  <c r="AT32" i="4"/>
  <c r="AT135" i="4" s="1"/>
  <c r="AR32" i="4"/>
  <c r="BM32" i="4" s="1"/>
  <c r="W32" i="4"/>
  <c r="G32" i="4" s="1"/>
  <c r="DH31" i="4"/>
  <c r="DG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S31" i="4"/>
  <c r="CR31" i="4"/>
  <c r="CQ31" i="4"/>
  <c r="CN31" i="4"/>
  <c r="BT31" i="4" s="1"/>
  <c r="DN31" i="4" s="1"/>
  <c r="BN31" i="4"/>
  <c r="BM31" i="4"/>
  <c r="BK31" i="4"/>
  <c r="BJ31" i="4"/>
  <c r="BI31" i="4"/>
  <c r="BH31" i="4"/>
  <c r="BG31" i="4"/>
  <c r="BF31" i="4"/>
  <c r="BE31" i="4"/>
  <c r="BD31" i="4"/>
  <c r="BC31" i="4"/>
  <c r="BB31" i="4"/>
  <c r="BA31" i="4"/>
  <c r="AZ31" i="4"/>
  <c r="AW31" i="4"/>
  <c r="AC31" i="4" s="1"/>
  <c r="Z31" i="4"/>
  <c r="G31" i="4"/>
  <c r="BS31" i="4" s="1"/>
  <c r="CO31" i="4" s="1"/>
  <c r="DH30" i="4"/>
  <c r="DG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S30" i="4"/>
  <c r="CR30" i="4"/>
  <c r="CQ30" i="4"/>
  <c r="CN30" i="4"/>
  <c r="BN30" i="4"/>
  <c r="BM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W30" i="4"/>
  <c r="AC30" i="4" s="1"/>
  <c r="Z30" i="4"/>
  <c r="BR30" i="4" s="1"/>
  <c r="DI29" i="4"/>
  <c r="DH29" i="4"/>
  <c r="DG29" i="4"/>
  <c r="DE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I29" i="4"/>
  <c r="BT29" i="4" s="1"/>
  <c r="DN29" i="4" s="1"/>
  <c r="BR29" i="4"/>
  <c r="BN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R29" i="4"/>
  <c r="G29" i="4"/>
  <c r="DI28" i="4"/>
  <c r="DH28" i="4"/>
  <c r="DG28" i="4"/>
  <c r="DE28" i="4"/>
  <c r="DC28" i="4"/>
  <c r="DB28" i="4"/>
  <c r="DA28" i="4"/>
  <c r="CZ28" i="4"/>
  <c r="CY28" i="4"/>
  <c r="CX28" i="4"/>
  <c r="CW28" i="4"/>
  <c r="CV28" i="4"/>
  <c r="CU28" i="4"/>
  <c r="CT28" i="4"/>
  <c r="CS28" i="4"/>
  <c r="CR28" i="4"/>
  <c r="CQ28" i="4"/>
  <c r="CI28" i="4"/>
  <c r="BT28" i="4" s="1"/>
  <c r="DN28" i="4" s="1"/>
  <c r="BR28" i="4"/>
  <c r="BN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R28" i="4"/>
  <c r="BM28" i="4" s="1"/>
  <c r="AC28" i="4"/>
  <c r="AB28" i="4" s="1"/>
  <c r="AX28" i="4" s="1"/>
  <c r="G28" i="4"/>
  <c r="DI27" i="4"/>
  <c r="DH27" i="4"/>
  <c r="DG27" i="4"/>
  <c r="DE27" i="4"/>
  <c r="DC27" i="4"/>
  <c r="DB27" i="4"/>
  <c r="DA27" i="4"/>
  <c r="CZ27" i="4"/>
  <c r="CY27" i="4"/>
  <c r="CX27" i="4"/>
  <c r="CW27" i="4"/>
  <c r="CV27" i="4"/>
  <c r="CU27" i="4"/>
  <c r="CT27" i="4"/>
  <c r="CS27" i="4"/>
  <c r="CR27" i="4"/>
  <c r="CQ27" i="4"/>
  <c r="CI27" i="4"/>
  <c r="BR27" i="4"/>
  <c r="BN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R27" i="4"/>
  <c r="AC27" i="4" s="1"/>
  <c r="U27" i="4"/>
  <c r="DI26" i="4"/>
  <c r="DH26" i="4"/>
  <c r="DG26" i="4"/>
  <c r="DE26" i="4"/>
  <c r="DC26" i="4"/>
  <c r="DB26" i="4"/>
  <c r="DA26" i="4"/>
  <c r="CZ26" i="4"/>
  <c r="CY26" i="4"/>
  <c r="CX26" i="4"/>
  <c r="CW26" i="4"/>
  <c r="CV26" i="4"/>
  <c r="CU26" i="4"/>
  <c r="CT26" i="4"/>
  <c r="CS26" i="4"/>
  <c r="CR26" i="4"/>
  <c r="CQ26" i="4"/>
  <c r="BT26" i="4"/>
  <c r="BR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C26" i="4"/>
  <c r="U26" i="4"/>
  <c r="G26" i="4"/>
  <c r="DI25" i="4"/>
  <c r="DH25" i="4"/>
  <c r="DG25" i="4"/>
  <c r="DE25" i="4"/>
  <c r="DC25" i="4"/>
  <c r="DB25" i="4"/>
  <c r="DA25" i="4"/>
  <c r="CZ25" i="4"/>
  <c r="CY25" i="4"/>
  <c r="CX25" i="4"/>
  <c r="CW25" i="4"/>
  <c r="CV25" i="4"/>
  <c r="CU25" i="4"/>
  <c r="CT25" i="4"/>
  <c r="CS25" i="4"/>
  <c r="CR25" i="4"/>
  <c r="CQ25" i="4"/>
  <c r="CI25" i="4"/>
  <c r="BT25" i="4" s="1"/>
  <c r="DN25" i="4" s="1"/>
  <c r="BR25" i="4"/>
  <c r="BN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R25" i="4"/>
  <c r="AC25" i="4" s="1"/>
  <c r="G25" i="4"/>
  <c r="AB25" i="4" s="1"/>
  <c r="AX25" i="4" s="1"/>
  <c r="DI24" i="4"/>
  <c r="DH24" i="4"/>
  <c r="DG24" i="4"/>
  <c r="DE24" i="4"/>
  <c r="DD24" i="4"/>
  <c r="DC24" i="4"/>
  <c r="DB24" i="4"/>
  <c r="DA24" i="4"/>
  <c r="CZ24" i="4"/>
  <c r="CY24" i="4"/>
  <c r="CX24" i="4"/>
  <c r="CW24" i="4"/>
  <c r="CV24" i="4"/>
  <c r="CU24" i="4"/>
  <c r="CT24" i="4"/>
  <c r="CS24" i="4"/>
  <c r="CR24" i="4"/>
  <c r="CQ24" i="4"/>
  <c r="CI24" i="4"/>
  <c r="BR24" i="4"/>
  <c r="BN24" i="4"/>
  <c r="BL24" i="4"/>
  <c r="BK24" i="4"/>
  <c r="BJ24" i="4"/>
  <c r="BI24" i="4"/>
  <c r="BH24" i="4"/>
  <c r="BG24" i="4"/>
  <c r="BF24" i="4"/>
  <c r="BE24" i="4"/>
  <c r="BD24" i="4"/>
  <c r="BC24" i="4"/>
  <c r="BB24" i="4"/>
  <c r="BA24" i="4"/>
  <c r="AZ24" i="4"/>
  <c r="AR24" i="4"/>
  <c r="AC24" i="4" s="1"/>
  <c r="G24" i="4"/>
  <c r="DI23" i="4"/>
  <c r="DH23" i="4"/>
  <c r="DG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Q23" i="4"/>
  <c r="BW23" i="4"/>
  <c r="BT23" i="4" s="1"/>
  <c r="DN23" i="4" s="1"/>
  <c r="BR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AZ23" i="4"/>
  <c r="AF23" i="4"/>
  <c r="AC23" i="4" s="1"/>
  <c r="I23" i="4"/>
  <c r="DI22" i="4"/>
  <c r="DH22" i="4"/>
  <c r="DG22" i="4"/>
  <c r="DE22" i="4"/>
  <c r="DD22" i="4"/>
  <c r="DC22" i="4"/>
  <c r="DB22" i="4"/>
  <c r="DA22" i="4"/>
  <c r="CZ22" i="4"/>
  <c r="CY22" i="4"/>
  <c r="CX22" i="4"/>
  <c r="CW22" i="4"/>
  <c r="CV22" i="4"/>
  <c r="CU22" i="4"/>
  <c r="CT22" i="4"/>
  <c r="CS22" i="4"/>
  <c r="CQ22" i="4"/>
  <c r="BW22" i="4"/>
  <c r="CR22" i="4" s="1"/>
  <c r="BR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AZ22" i="4"/>
  <c r="AF22" i="4"/>
  <c r="G22" i="4"/>
  <c r="DI21" i="4"/>
  <c r="DH21" i="4"/>
  <c r="DG21" i="4"/>
  <c r="DE21" i="4"/>
  <c r="DD21" i="4"/>
  <c r="DC21" i="4"/>
  <c r="DB21" i="4"/>
  <c r="DA21" i="4"/>
  <c r="CZ21" i="4"/>
  <c r="CY21" i="4"/>
  <c r="CX21" i="4"/>
  <c r="CW21" i="4"/>
  <c r="CV21" i="4"/>
  <c r="CU21" i="4"/>
  <c r="CT21" i="4"/>
  <c r="CS21" i="4"/>
  <c r="CQ21" i="4"/>
  <c r="BW21" i="4"/>
  <c r="CR21" i="4" s="1"/>
  <c r="BR21" i="4"/>
  <c r="BN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AZ21" i="4"/>
  <c r="AF21" i="4"/>
  <c r="BA21" i="4" s="1"/>
  <c r="G21" i="4"/>
  <c r="DF20" i="4"/>
  <c r="CM20" i="4"/>
  <c r="CL20" i="4"/>
  <c r="CJ20" i="4"/>
  <c r="CI20" i="4"/>
  <c r="CF20" i="4"/>
  <c r="CE20" i="4"/>
  <c r="CD20" i="4"/>
  <c r="CC20" i="4"/>
  <c r="CB20" i="4"/>
  <c r="CA20" i="4"/>
  <c r="BX20" i="4"/>
  <c r="BV20" i="4"/>
  <c r="BU20" i="4"/>
  <c r="AV20" i="4"/>
  <c r="AU20" i="4"/>
  <c r="AT20" i="4"/>
  <c r="AS20" i="4"/>
  <c r="AR20" i="4"/>
  <c r="AO20" i="4"/>
  <c r="AN20" i="4"/>
  <c r="AM20" i="4"/>
  <c r="AL20" i="4"/>
  <c r="AK20" i="4"/>
  <c r="AJ20" i="4"/>
  <c r="AG20" i="4"/>
  <c r="AE20" i="4"/>
  <c r="Y20" i="4"/>
  <c r="X20" i="4"/>
  <c r="V20" i="4"/>
  <c r="U20" i="4"/>
  <c r="T20" i="4"/>
  <c r="S20" i="4"/>
  <c r="R20" i="4"/>
  <c r="Q20" i="4"/>
  <c r="P20" i="4"/>
  <c r="O20" i="4"/>
  <c r="N20" i="4"/>
  <c r="M20" i="4"/>
  <c r="L20" i="4"/>
  <c r="J20" i="4"/>
  <c r="H20" i="4"/>
  <c r="DI19" i="4"/>
  <c r="DH19" i="4"/>
  <c r="DG19" i="4"/>
  <c r="DE19" i="4"/>
  <c r="DD19" i="4"/>
  <c r="DC19" i="4"/>
  <c r="DB19" i="4"/>
  <c r="DA19" i="4"/>
  <c r="CZ19" i="4"/>
  <c r="CY19" i="4"/>
  <c r="CX19" i="4"/>
  <c r="CW19" i="4"/>
  <c r="CV19" i="4"/>
  <c r="CU19" i="4"/>
  <c r="CS19" i="4"/>
  <c r="CR19" i="4"/>
  <c r="CQ19" i="4"/>
  <c r="BY19" i="4"/>
  <c r="CT19" i="4" s="1"/>
  <c r="BT19" i="4"/>
  <c r="BS19" i="4"/>
  <c r="CO19" i="4" s="1"/>
  <c r="BQ19" i="4"/>
  <c r="BN19" i="4"/>
  <c r="BM19" i="4"/>
  <c r="BL19" i="4"/>
  <c r="BK19" i="4"/>
  <c r="BJ19" i="4"/>
  <c r="BI19" i="4"/>
  <c r="BH19" i="4"/>
  <c r="BG19" i="4"/>
  <c r="BF19" i="4"/>
  <c r="BE19" i="4"/>
  <c r="BD19" i="4"/>
  <c r="BB19" i="4"/>
  <c r="BA19" i="4"/>
  <c r="AZ19" i="4"/>
  <c r="AW19" i="4"/>
  <c r="AH19" i="4"/>
  <c r="BC19" i="4" s="1"/>
  <c r="G19" i="4"/>
  <c r="DI18" i="4"/>
  <c r="DH18" i="4"/>
  <c r="DG18" i="4"/>
  <c r="DE18" i="4"/>
  <c r="DD18" i="4"/>
  <c r="DC18" i="4"/>
  <c r="DB18" i="4"/>
  <c r="DA18" i="4"/>
  <c r="CZ18" i="4"/>
  <c r="CY18" i="4"/>
  <c r="CX18" i="4"/>
  <c r="CW18" i="4"/>
  <c r="CV18" i="4"/>
  <c r="CU18" i="4"/>
  <c r="CS18" i="4"/>
  <c r="CR18" i="4"/>
  <c r="CQ18" i="4"/>
  <c r="BY18" i="4"/>
  <c r="BT18" i="4" s="1"/>
  <c r="BR18" i="4"/>
  <c r="BQ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H18" i="4"/>
  <c r="AC18" i="4" s="1"/>
  <c r="G18" i="4"/>
  <c r="DI17" i="4"/>
  <c r="DH17" i="4"/>
  <c r="DG17" i="4"/>
  <c r="DE17" i="4"/>
  <c r="DD17" i="4"/>
  <c r="DC17" i="4"/>
  <c r="DB17" i="4"/>
  <c r="DA17" i="4"/>
  <c r="CZ17" i="4"/>
  <c r="CY17" i="4"/>
  <c r="CX17" i="4"/>
  <c r="CW17" i="4"/>
  <c r="CV17" i="4"/>
  <c r="CU17" i="4"/>
  <c r="CS17" i="4"/>
  <c r="CR17" i="4"/>
  <c r="CQ17" i="4"/>
  <c r="BY17" i="4"/>
  <c r="BT17" i="4" s="1"/>
  <c r="BR17" i="4"/>
  <c r="BQ17" i="4"/>
  <c r="BP17" i="4"/>
  <c r="BN17" i="4"/>
  <c r="BM17" i="4"/>
  <c r="BL17" i="4"/>
  <c r="BK17" i="4"/>
  <c r="BJ17" i="4"/>
  <c r="BI17" i="4"/>
  <c r="BH17" i="4"/>
  <c r="BG17" i="4"/>
  <c r="BF17" i="4"/>
  <c r="BE17" i="4"/>
  <c r="BD17" i="4"/>
  <c r="BB17" i="4"/>
  <c r="BA17" i="4"/>
  <c r="AZ17" i="4"/>
  <c r="AH17" i="4"/>
  <c r="AC17" i="4" s="1"/>
  <c r="K17" i="4"/>
  <c r="G17" i="4"/>
  <c r="DH16" i="4"/>
  <c r="DG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BT16" i="4"/>
  <c r="BQ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C16" i="4"/>
  <c r="Z16" i="4"/>
  <c r="BR16" i="4" s="1"/>
  <c r="G16" i="4"/>
  <c r="DI15" i="4"/>
  <c r="DH15" i="4"/>
  <c r="DG15" i="4"/>
  <c r="DE15" i="4"/>
  <c r="DD15" i="4"/>
  <c r="DC15" i="4"/>
  <c r="DA15" i="4"/>
  <c r="CZ15" i="4"/>
  <c r="CY15" i="4"/>
  <c r="CX15" i="4"/>
  <c r="CW15" i="4"/>
  <c r="CV15" i="4"/>
  <c r="CU15" i="4"/>
  <c r="CS15" i="4"/>
  <c r="CR15" i="4"/>
  <c r="CQ15" i="4"/>
  <c r="BY15" i="4"/>
  <c r="CT15" i="4" s="1"/>
  <c r="BR15" i="4"/>
  <c r="BQ15" i="4"/>
  <c r="BN15" i="4"/>
  <c r="BM15" i="4"/>
  <c r="BL15" i="4"/>
  <c r="BJ15" i="4"/>
  <c r="BI15" i="4"/>
  <c r="BH15" i="4"/>
  <c r="BG15" i="4"/>
  <c r="BF15" i="4"/>
  <c r="BE15" i="4"/>
  <c r="BD15" i="4"/>
  <c r="BB15" i="4"/>
  <c r="BA15" i="4"/>
  <c r="AZ15" i="4"/>
  <c r="AP15" i="4"/>
  <c r="AH15" i="4"/>
  <c r="G15" i="4"/>
  <c r="DI14" i="4"/>
  <c r="DH14" i="4"/>
  <c r="DG14" i="4"/>
  <c r="DE14" i="4"/>
  <c r="DD14" i="4"/>
  <c r="DC14" i="4"/>
  <c r="DB14" i="4"/>
  <c r="DA14" i="4"/>
  <c r="CZ14" i="4"/>
  <c r="CY14" i="4"/>
  <c r="CX14" i="4"/>
  <c r="CW14" i="4"/>
  <c r="CV14" i="4"/>
  <c r="CU14" i="4"/>
  <c r="CS14" i="4"/>
  <c r="CR14" i="4"/>
  <c r="CQ14" i="4"/>
  <c r="BY14" i="4"/>
  <c r="CT14" i="4" s="1"/>
  <c r="BT14" i="4"/>
  <c r="BR14" i="4"/>
  <c r="BQ14" i="4"/>
  <c r="BP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H14" i="4"/>
  <c r="AC14" i="4" s="1"/>
  <c r="G14" i="4"/>
  <c r="DH13" i="4"/>
  <c r="DG13" i="4"/>
  <c r="DE13" i="4"/>
  <c r="DD13" i="4"/>
  <c r="DB13" i="4"/>
  <c r="DA13" i="4"/>
  <c r="CZ13" i="4"/>
  <c r="CY13" i="4"/>
  <c r="CX13" i="4"/>
  <c r="CW13" i="4"/>
  <c r="CV13" i="4"/>
  <c r="CS13" i="4"/>
  <c r="CR13" i="4"/>
  <c r="CQ13" i="4"/>
  <c r="CN13" i="4"/>
  <c r="CH13" i="4"/>
  <c r="CH136" i="4" s="1"/>
  <c r="BZ13" i="4"/>
  <c r="BY13" i="4"/>
  <c r="BQ13" i="4"/>
  <c r="BN13" i="4"/>
  <c r="BM13" i="4"/>
  <c r="BK13" i="4"/>
  <c r="BJ13" i="4"/>
  <c r="BI13" i="4"/>
  <c r="BH13" i="4"/>
  <c r="BG13" i="4"/>
  <c r="BF13" i="4"/>
  <c r="BE13" i="4"/>
  <c r="BC13" i="4"/>
  <c r="BB13" i="4"/>
  <c r="BA13" i="4"/>
  <c r="AZ13" i="4"/>
  <c r="AW13" i="4"/>
  <c r="AQ13" i="4"/>
  <c r="AI13" i="4"/>
  <c r="Z13" i="4"/>
  <c r="DI13" i="4" s="1"/>
  <c r="DI12" i="4"/>
  <c r="DH12" i="4"/>
  <c r="DG12" i="4"/>
  <c r="DE12" i="4"/>
  <c r="DD12" i="4"/>
  <c r="DC12" i="4"/>
  <c r="DB12" i="4"/>
  <c r="DA12" i="4"/>
  <c r="CZ12" i="4"/>
  <c r="CY12" i="4"/>
  <c r="CX12" i="4"/>
  <c r="CW12" i="4"/>
  <c r="CV12" i="4"/>
  <c r="CU12" i="4"/>
  <c r="CS12" i="4"/>
  <c r="CR12" i="4"/>
  <c r="CQ12" i="4"/>
  <c r="BY12" i="4"/>
  <c r="CT12" i="4" s="1"/>
  <c r="BR12" i="4"/>
  <c r="BQ12" i="4"/>
  <c r="BN12" i="4"/>
  <c r="BM12" i="4"/>
  <c r="BL12" i="4"/>
  <c r="BK12" i="4"/>
  <c r="BJ12" i="4"/>
  <c r="BI12" i="4"/>
  <c r="BH12" i="4"/>
  <c r="BG12" i="4"/>
  <c r="BF12" i="4"/>
  <c r="BE12" i="4"/>
  <c r="BD12" i="4"/>
  <c r="BB12" i="4"/>
  <c r="BA12" i="4"/>
  <c r="AZ12" i="4"/>
  <c r="AH12" i="4"/>
  <c r="AC12" i="4" s="1"/>
  <c r="G12" i="4"/>
  <c r="DI11" i="4"/>
  <c r="DH11" i="4"/>
  <c r="DG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Q11" i="4"/>
  <c r="BW11" i="4"/>
  <c r="BR11" i="4"/>
  <c r="BQ11" i="4"/>
  <c r="BN11" i="4"/>
  <c r="BM11" i="4"/>
  <c r="BL11" i="4"/>
  <c r="BK11" i="4"/>
  <c r="BJ11" i="4"/>
  <c r="BI11" i="4"/>
  <c r="BH11" i="4"/>
  <c r="BG11" i="4"/>
  <c r="BF11" i="4"/>
  <c r="BE11" i="4"/>
  <c r="BD11" i="4"/>
  <c r="BB11" i="4"/>
  <c r="BA11" i="4"/>
  <c r="AZ11" i="4"/>
  <c r="AH11" i="4"/>
  <c r="BC11" i="4" s="1"/>
  <c r="G11" i="4"/>
  <c r="DI10" i="4"/>
  <c r="DH10" i="4"/>
  <c r="DG10" i="4"/>
  <c r="DE10" i="4"/>
  <c r="DD10" i="4"/>
  <c r="DC10" i="4"/>
  <c r="DB10" i="4"/>
  <c r="DA10" i="4"/>
  <c r="CZ10" i="4"/>
  <c r="CY10" i="4"/>
  <c r="CX10" i="4"/>
  <c r="CW10" i="4"/>
  <c r="CV10" i="4"/>
  <c r="CU10" i="4"/>
  <c r="CS10" i="4"/>
  <c r="CR10" i="4"/>
  <c r="CQ10" i="4"/>
  <c r="BY10" i="4"/>
  <c r="CT10" i="4" s="1"/>
  <c r="BT10" i="4"/>
  <c r="BR10" i="4"/>
  <c r="BQ10" i="4"/>
  <c r="BN10" i="4"/>
  <c r="BM10" i="4"/>
  <c r="BL10" i="4"/>
  <c r="BK10" i="4"/>
  <c r="BJ10" i="4"/>
  <c r="BI10" i="4"/>
  <c r="BH10" i="4"/>
  <c r="BG10" i="4"/>
  <c r="BF10" i="4"/>
  <c r="BE10" i="4"/>
  <c r="BD10" i="4"/>
  <c r="BB10" i="4"/>
  <c r="BA10" i="4"/>
  <c r="AZ10" i="4"/>
  <c r="AH10" i="4"/>
  <c r="BC10" i="4" s="1"/>
  <c r="G10" i="4"/>
  <c r="DH9" i="4"/>
  <c r="DG9" i="4"/>
  <c r="DE9" i="4"/>
  <c r="DD9" i="4"/>
  <c r="DC9" i="4"/>
  <c r="DB9" i="4"/>
  <c r="DA9" i="4"/>
  <c r="CZ9" i="4"/>
  <c r="CY9" i="4"/>
  <c r="CX9" i="4"/>
  <c r="CW9" i="4"/>
  <c r="CV9" i="4"/>
  <c r="CU9" i="4"/>
  <c r="CS9" i="4"/>
  <c r="CQ9" i="4"/>
  <c r="CN9" i="4"/>
  <c r="BW9" i="4"/>
  <c r="BQ9" i="4"/>
  <c r="BN9" i="4"/>
  <c r="BM9" i="4"/>
  <c r="BL9" i="4"/>
  <c r="BK9" i="4"/>
  <c r="BJ9" i="4"/>
  <c r="BI9" i="4"/>
  <c r="BH9" i="4"/>
  <c r="BG9" i="4"/>
  <c r="BF9" i="4"/>
  <c r="BE9" i="4"/>
  <c r="BD9" i="4"/>
  <c r="BB9" i="4"/>
  <c r="AZ9" i="4"/>
  <c r="AW9" i="4"/>
  <c r="AH9" i="4"/>
  <c r="AF9" i="4"/>
  <c r="BA9" i="4" s="1"/>
  <c r="Z9" i="4"/>
  <c r="BR9" i="4" s="1"/>
  <c r="K9" i="4"/>
  <c r="I9" i="4"/>
  <c r="CR9" i="4" s="1"/>
  <c r="DI8" i="4"/>
  <c r="DH8" i="4"/>
  <c r="DG8" i="4"/>
  <c r="DE8" i="4"/>
  <c r="DD8" i="4"/>
  <c r="DC8" i="4"/>
  <c r="DB8" i="4"/>
  <c r="DA8" i="4"/>
  <c r="CZ8" i="4"/>
  <c r="CY8" i="4"/>
  <c r="CX8" i="4"/>
  <c r="CW8" i="4"/>
  <c r="CV8" i="4"/>
  <c r="CU8" i="4"/>
  <c r="CS8" i="4"/>
  <c r="CQ8" i="4"/>
  <c r="BY8" i="4"/>
  <c r="BW8" i="4"/>
  <c r="BR8" i="4"/>
  <c r="BQ8" i="4"/>
  <c r="BN8" i="4"/>
  <c r="BM8" i="4"/>
  <c r="BL8" i="4"/>
  <c r="BK8" i="4"/>
  <c r="BJ8" i="4"/>
  <c r="BI8" i="4"/>
  <c r="BH8" i="4"/>
  <c r="BG8" i="4"/>
  <c r="BF8" i="4"/>
  <c r="BE8" i="4"/>
  <c r="BD8" i="4"/>
  <c r="BB8" i="4"/>
  <c r="AZ8" i="4"/>
  <c r="AH8" i="4"/>
  <c r="AF8" i="4"/>
  <c r="AC8" i="4" s="1"/>
  <c r="K8" i="4"/>
  <c r="I8" i="4"/>
  <c r="DH7" i="4"/>
  <c r="DG7" i="4"/>
  <c r="DE7" i="4"/>
  <c r="DD7" i="4"/>
  <c r="DC7" i="4"/>
  <c r="DB7" i="4"/>
  <c r="DA7" i="4"/>
  <c r="CZ7" i="4"/>
  <c r="CY7" i="4"/>
  <c r="CX7" i="4"/>
  <c r="CW7" i="4"/>
  <c r="CV7" i="4"/>
  <c r="CU7" i="4"/>
  <c r="CS7" i="4"/>
  <c r="CQ7" i="4"/>
  <c r="CN7" i="4"/>
  <c r="BT7" i="4" s="1"/>
  <c r="BQ7" i="4"/>
  <c r="BN7" i="4"/>
  <c r="BM7" i="4"/>
  <c r="BL7" i="4"/>
  <c r="BK7" i="4"/>
  <c r="BJ7" i="4"/>
  <c r="BI7" i="4"/>
  <c r="BH7" i="4"/>
  <c r="BG7" i="4"/>
  <c r="BF7" i="4"/>
  <c r="BE7" i="4"/>
  <c r="BD7" i="4"/>
  <c r="BB7" i="4"/>
  <c r="AZ7" i="4"/>
  <c r="AW7" i="4"/>
  <c r="AC7" i="4"/>
  <c r="Z7" i="4"/>
  <c r="K7" i="4"/>
  <c r="I7" i="4"/>
  <c r="DI6" i="4"/>
  <c r="DH6" i="4"/>
  <c r="DG6" i="4"/>
  <c r="DE6" i="4"/>
  <c r="DD6" i="4"/>
  <c r="DC6" i="4"/>
  <c r="DB6" i="4"/>
  <c r="DA6" i="4"/>
  <c r="CZ6" i="4"/>
  <c r="CY6" i="4"/>
  <c r="CX6" i="4"/>
  <c r="CW6" i="4"/>
  <c r="CV6" i="4"/>
  <c r="CU6" i="4"/>
  <c r="CS6" i="4"/>
  <c r="CR6" i="4"/>
  <c r="CQ6" i="4"/>
  <c r="BY6" i="4"/>
  <c r="BR6" i="4"/>
  <c r="BQ6" i="4"/>
  <c r="BN6" i="4"/>
  <c r="BM6" i="4"/>
  <c r="BL6" i="4"/>
  <c r="BK6" i="4"/>
  <c r="BJ6" i="4"/>
  <c r="BI6" i="4"/>
  <c r="BH6" i="4"/>
  <c r="BG6" i="4"/>
  <c r="BF6" i="4"/>
  <c r="BE6" i="4"/>
  <c r="BD6" i="4"/>
  <c r="BB6" i="4"/>
  <c r="AZ6" i="4"/>
  <c r="AH6" i="4"/>
  <c r="AC6" i="4" s="1"/>
  <c r="K6" i="4"/>
  <c r="I6" i="4"/>
  <c r="BA6" i="4" s="1"/>
  <c r="G6" i="4"/>
  <c r="DH5" i="4"/>
  <c r="DG5" i="4"/>
  <c r="DE5" i="4"/>
  <c r="DD5" i="4"/>
  <c r="DC5" i="4"/>
  <c r="DB5" i="4"/>
  <c r="DA5" i="4"/>
  <c r="CZ5" i="4"/>
  <c r="CY5" i="4"/>
  <c r="CX5" i="4"/>
  <c r="CW5" i="4"/>
  <c r="CV5" i="4"/>
  <c r="CU5" i="4"/>
  <c r="CS5" i="4"/>
  <c r="CQ5" i="4"/>
  <c r="CN5" i="4"/>
  <c r="DI5" i="4" s="1"/>
  <c r="BY5" i="4"/>
  <c r="BQ5" i="4"/>
  <c r="BN5" i="4"/>
  <c r="BM5" i="4"/>
  <c r="BL5" i="4"/>
  <c r="BK5" i="4"/>
  <c r="BJ5" i="4"/>
  <c r="BI5" i="4"/>
  <c r="BH5" i="4"/>
  <c r="BG5" i="4"/>
  <c r="BF5" i="4"/>
  <c r="BE5" i="4"/>
  <c r="BD5" i="4"/>
  <c r="BB5" i="4"/>
  <c r="AZ5" i="4"/>
  <c r="AW5" i="4"/>
  <c r="AH5" i="4"/>
  <c r="AC5" i="4" s="1"/>
  <c r="Z5" i="4"/>
  <c r="BR5" i="4" s="1"/>
  <c r="K5" i="4"/>
  <c r="BC5" i="4" s="1"/>
  <c r="I5" i="4"/>
  <c r="CR5" i="4" s="1"/>
  <c r="DI4" i="4"/>
  <c r="DH4" i="4"/>
  <c r="DG4" i="4"/>
  <c r="DE4" i="4"/>
  <c r="DD4" i="4"/>
  <c r="DC4" i="4"/>
  <c r="DB4" i="4"/>
  <c r="DA4" i="4"/>
  <c r="CZ4" i="4"/>
  <c r="CY4" i="4"/>
  <c r="CX4" i="4"/>
  <c r="CW4" i="4"/>
  <c r="CV4" i="4"/>
  <c r="CU4" i="4"/>
  <c r="CT4" i="4"/>
  <c r="CS4" i="4"/>
  <c r="CR4" i="4"/>
  <c r="CQ4" i="4"/>
  <c r="BY4" i="4"/>
  <c r="BT4" i="4"/>
  <c r="BR4" i="4"/>
  <c r="BQ4" i="4"/>
  <c r="BP4" i="4"/>
  <c r="BN4" i="4"/>
  <c r="BM4" i="4"/>
  <c r="BL4" i="4"/>
  <c r="BK4" i="4"/>
  <c r="BJ4" i="4"/>
  <c r="BI4" i="4"/>
  <c r="BH4" i="4"/>
  <c r="BG4" i="4"/>
  <c r="BF4" i="4"/>
  <c r="BE4" i="4"/>
  <c r="BD4" i="4"/>
  <c r="BC4" i="4"/>
  <c r="BB4" i="4"/>
  <c r="BA4" i="4"/>
  <c r="AZ4" i="4"/>
  <c r="AC4" i="4"/>
  <c r="G4" i="4"/>
  <c r="BM3" i="4"/>
  <c r="CI3" i="4" s="1"/>
  <c r="DD3" i="4" s="1"/>
  <c r="BM3" i="3"/>
  <c r="CI3" i="3" s="1"/>
  <c r="DD3" i="3" s="1"/>
  <c r="DF140" i="3"/>
  <c r="CM140" i="3"/>
  <c r="CL140" i="3"/>
  <c r="CK140" i="3"/>
  <c r="CH140" i="3"/>
  <c r="CG140" i="3"/>
  <c r="CF140" i="3"/>
  <c r="CE140" i="3"/>
  <c r="CD140" i="3"/>
  <c r="CC140" i="3"/>
  <c r="CB140" i="3"/>
  <c r="CA140" i="3"/>
  <c r="BZ140" i="3"/>
  <c r="BY140" i="3"/>
  <c r="BX140" i="3"/>
  <c r="BW140" i="3"/>
  <c r="BU140" i="3"/>
  <c r="AV140" i="3"/>
  <c r="AU140" i="3"/>
  <c r="AT140" i="3"/>
  <c r="AQ140" i="3"/>
  <c r="AP140" i="3"/>
  <c r="AO140" i="3"/>
  <c r="AN140" i="3"/>
  <c r="AM140" i="3"/>
  <c r="AL140" i="3"/>
  <c r="AK140" i="3"/>
  <c r="AJ140" i="3"/>
  <c r="AI140" i="3"/>
  <c r="AG140" i="3"/>
  <c r="AD140" i="3"/>
  <c r="Y140" i="3"/>
  <c r="X140" i="3"/>
  <c r="T140" i="3"/>
  <c r="S140" i="3"/>
  <c r="R140" i="3"/>
  <c r="Q140" i="3"/>
  <c r="P140" i="3"/>
  <c r="O140" i="3"/>
  <c r="N140" i="3"/>
  <c r="M140" i="3"/>
  <c r="L140" i="3"/>
  <c r="K140" i="3"/>
  <c r="J140" i="3"/>
  <c r="H140" i="3"/>
  <c r="AA139" i="3"/>
  <c r="AA141" i="3" s="1"/>
  <c r="DF138" i="3"/>
  <c r="CK138" i="3"/>
  <c r="AT138" i="3"/>
  <c r="Z138" i="3"/>
  <c r="X138" i="3"/>
  <c r="DF137" i="3"/>
  <c r="CM137" i="3"/>
  <c r="CL137" i="3"/>
  <c r="CK137" i="3"/>
  <c r="CJ137" i="3"/>
  <c r="CI137" i="3"/>
  <c r="CH137" i="3"/>
  <c r="CE137" i="3"/>
  <c r="CD137" i="3"/>
  <c r="CC137" i="3"/>
  <c r="CB137" i="3"/>
  <c r="CA137" i="3"/>
  <c r="BX137" i="3"/>
  <c r="BW137" i="3"/>
  <c r="BV137" i="3"/>
  <c r="BU137" i="3"/>
  <c r="AV137" i="3"/>
  <c r="AU137" i="3"/>
  <c r="AT137" i="3"/>
  <c r="AS137" i="3"/>
  <c r="AR137" i="3"/>
  <c r="AQ137" i="3"/>
  <c r="AN137" i="3"/>
  <c r="AM137" i="3"/>
  <c r="AL137" i="3"/>
  <c r="AK137" i="3"/>
  <c r="AJ137" i="3"/>
  <c r="AG137" i="3"/>
  <c r="AF137" i="3"/>
  <c r="AE137" i="3"/>
  <c r="AD137" i="3"/>
  <c r="Y137" i="3"/>
  <c r="X137" i="3"/>
  <c r="V137" i="3"/>
  <c r="U137" i="3"/>
  <c r="T137" i="3"/>
  <c r="Q137" i="3"/>
  <c r="P137" i="3"/>
  <c r="O137" i="3"/>
  <c r="N137" i="3"/>
  <c r="M137" i="3"/>
  <c r="J137" i="3"/>
  <c r="I137" i="3"/>
  <c r="H137" i="3"/>
  <c r="DF136" i="3"/>
  <c r="CM136" i="3"/>
  <c r="CL136" i="3"/>
  <c r="CK136" i="3"/>
  <c r="CJ136" i="3"/>
  <c r="CI136" i="3"/>
  <c r="CF136" i="3"/>
  <c r="CE136" i="3"/>
  <c r="CD136" i="3"/>
  <c r="CC136" i="3"/>
  <c r="CB136" i="3"/>
  <c r="CA136" i="3"/>
  <c r="BX136" i="3"/>
  <c r="BW136" i="3"/>
  <c r="BV136" i="3"/>
  <c r="BU136" i="3"/>
  <c r="AV136" i="3"/>
  <c r="AU136" i="3"/>
  <c r="AT136" i="3"/>
  <c r="AS136" i="3"/>
  <c r="AR136" i="3"/>
  <c r="AO136" i="3"/>
  <c r="AN136" i="3"/>
  <c r="AM136" i="3"/>
  <c r="AL136" i="3"/>
  <c r="AK136" i="3"/>
  <c r="AJ136" i="3"/>
  <c r="AG136" i="3"/>
  <c r="AF136" i="3"/>
  <c r="AE136" i="3"/>
  <c r="AD136" i="3"/>
  <c r="Y136" i="3"/>
  <c r="X136" i="3"/>
  <c r="V136" i="3"/>
  <c r="U136" i="3"/>
  <c r="T136" i="3"/>
  <c r="S136" i="3"/>
  <c r="R136" i="3"/>
  <c r="Q136" i="3"/>
  <c r="P136" i="3"/>
  <c r="O136" i="3"/>
  <c r="N136" i="3"/>
  <c r="M136" i="3"/>
  <c r="L136" i="3"/>
  <c r="J136" i="3"/>
  <c r="H136" i="3"/>
  <c r="CL135" i="3"/>
  <c r="CK135" i="3"/>
  <c r="CJ135" i="3"/>
  <c r="CH135" i="3"/>
  <c r="CE135" i="3"/>
  <c r="CD135" i="3"/>
  <c r="CC135" i="3"/>
  <c r="CB135" i="3"/>
  <c r="CA135" i="3"/>
  <c r="BZ135" i="3"/>
  <c r="BY135" i="3"/>
  <c r="BX135" i="3"/>
  <c r="BV135" i="3"/>
  <c r="BU135" i="3"/>
  <c r="AU135" i="3"/>
  <c r="AS135" i="3"/>
  <c r="AQ135" i="3"/>
  <c r="AN135" i="3"/>
  <c r="AM135" i="3"/>
  <c r="AL135" i="3"/>
  <c r="AK135" i="3"/>
  <c r="AJ135" i="3"/>
  <c r="AH135" i="3"/>
  <c r="AG135" i="3"/>
  <c r="AE135" i="3"/>
  <c r="AD135" i="3"/>
  <c r="X135" i="3"/>
  <c r="V135" i="3"/>
  <c r="T135" i="3"/>
  <c r="S135" i="3"/>
  <c r="Q135" i="3"/>
  <c r="P135" i="3"/>
  <c r="O135" i="3"/>
  <c r="N135" i="3"/>
  <c r="M135" i="3"/>
  <c r="K135" i="3"/>
  <c r="J135" i="3"/>
  <c r="H135" i="3"/>
  <c r="DF134" i="3"/>
  <c r="CM134" i="3"/>
  <c r="CL134" i="3"/>
  <c r="CK134" i="3"/>
  <c r="CJ134" i="3"/>
  <c r="CI134" i="3"/>
  <c r="CH134" i="3"/>
  <c r="CG134" i="3"/>
  <c r="CF134" i="3"/>
  <c r="CE134" i="3"/>
  <c r="CD134" i="3"/>
  <c r="CC134" i="3"/>
  <c r="CB134" i="3"/>
  <c r="CA134" i="3"/>
  <c r="BZ134" i="3"/>
  <c r="BX134" i="3"/>
  <c r="BV134" i="3"/>
  <c r="BU134" i="3"/>
  <c r="BP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G134" i="3"/>
  <c r="AE134" i="3"/>
  <c r="AD134" i="3"/>
  <c r="Y134" i="3"/>
  <c r="X134" i="3"/>
  <c r="V134" i="3"/>
  <c r="U134" i="3"/>
  <c r="T134" i="3"/>
  <c r="S134" i="3"/>
  <c r="R134" i="3"/>
  <c r="Q134" i="3"/>
  <c r="P134" i="3"/>
  <c r="O134" i="3"/>
  <c r="N134" i="3"/>
  <c r="M134" i="3"/>
  <c r="L134" i="3"/>
  <c r="J134" i="3"/>
  <c r="H134" i="3"/>
  <c r="DF133" i="3"/>
  <c r="CM133" i="3"/>
  <c r="CL133" i="3"/>
  <c r="CK133" i="3"/>
  <c r="CJ133" i="3"/>
  <c r="CI133" i="3"/>
  <c r="CH133" i="3"/>
  <c r="CF133" i="3"/>
  <c r="CD133" i="3"/>
  <c r="CC133" i="3"/>
  <c r="CB133" i="3"/>
  <c r="CA133" i="3"/>
  <c r="BZ133" i="3"/>
  <c r="BY133" i="3"/>
  <c r="BX133" i="3"/>
  <c r="BV133" i="3"/>
  <c r="BU133" i="3"/>
  <c r="AV133" i="3"/>
  <c r="AU133" i="3"/>
  <c r="AT133" i="3"/>
  <c r="AS133" i="3"/>
  <c r="AR133" i="3"/>
  <c r="AQ133" i="3"/>
  <c r="AO133" i="3"/>
  <c r="AM133" i="3"/>
  <c r="AL133" i="3"/>
  <c r="AK133" i="3"/>
  <c r="AJ133" i="3"/>
  <c r="AI133" i="3"/>
  <c r="AH133" i="3"/>
  <c r="AG133" i="3"/>
  <c r="AE133" i="3"/>
  <c r="AD133" i="3"/>
  <c r="Y133" i="3"/>
  <c r="X133" i="3"/>
  <c r="V133" i="3"/>
  <c r="T133" i="3"/>
  <c r="S133" i="3"/>
  <c r="R133" i="3"/>
  <c r="P133" i="3"/>
  <c r="O133" i="3"/>
  <c r="N133" i="3"/>
  <c r="M133" i="3"/>
  <c r="L133" i="3"/>
  <c r="K133" i="3"/>
  <c r="J133" i="3"/>
  <c r="H133" i="3"/>
  <c r="DF132" i="3"/>
  <c r="CM132" i="3"/>
  <c r="CL132" i="3"/>
  <c r="CK132" i="3"/>
  <c r="CJ132" i="3"/>
  <c r="CI132" i="3"/>
  <c r="CH132" i="3"/>
  <c r="CG132" i="3"/>
  <c r="CF132" i="3"/>
  <c r="CD132" i="3"/>
  <c r="CC132" i="3"/>
  <c r="CB132" i="3"/>
  <c r="CA132" i="3"/>
  <c r="BZ132" i="3"/>
  <c r="BY132" i="3"/>
  <c r="BV132" i="3"/>
  <c r="BU132" i="3"/>
  <c r="BP132" i="3"/>
  <c r="AV132" i="3"/>
  <c r="AU132" i="3"/>
  <c r="AT132" i="3"/>
  <c r="AS132" i="3"/>
  <c r="AR132" i="3"/>
  <c r="AQ132" i="3"/>
  <c r="AP132" i="3"/>
  <c r="AO132" i="3"/>
  <c r="AM132" i="3"/>
  <c r="AL132" i="3"/>
  <c r="AK132" i="3"/>
  <c r="AJ132" i="3"/>
  <c r="AI132" i="3"/>
  <c r="AH132" i="3"/>
  <c r="AE132" i="3"/>
  <c r="AD132" i="3"/>
  <c r="Y132" i="3"/>
  <c r="X132" i="3"/>
  <c r="V132" i="3"/>
  <c r="U132" i="3"/>
  <c r="T132" i="3"/>
  <c r="S132" i="3"/>
  <c r="R132" i="3"/>
  <c r="L132" i="3"/>
  <c r="K132" i="3"/>
  <c r="H132" i="3"/>
  <c r="DF128" i="3"/>
  <c r="CM128" i="3"/>
  <c r="CJ128" i="3"/>
  <c r="CI128" i="3"/>
  <c r="CF128" i="3"/>
  <c r="CD128" i="3"/>
  <c r="CC128" i="3"/>
  <c r="CB128" i="3"/>
  <c r="CA128" i="3"/>
  <c r="BZ128" i="3"/>
  <c r="BV128" i="3"/>
  <c r="BU128" i="3"/>
  <c r="BO128" i="3"/>
  <c r="AV128" i="3"/>
  <c r="AT128" i="3"/>
  <c r="AS128" i="3"/>
  <c r="AR128" i="3"/>
  <c r="AO128" i="3"/>
  <c r="AM128" i="3"/>
  <c r="AL128" i="3"/>
  <c r="AK128" i="3"/>
  <c r="AJ128" i="3"/>
  <c r="AI128" i="3"/>
  <c r="AE128" i="3"/>
  <c r="Y128" i="3"/>
  <c r="X128" i="3"/>
  <c r="W128" i="3"/>
  <c r="V128" i="3"/>
  <c r="U128" i="3"/>
  <c r="S128" i="3"/>
  <c r="R128" i="3"/>
  <c r="L128" i="3"/>
  <c r="H128" i="3"/>
  <c r="DH127" i="3"/>
  <c r="DG127" i="3"/>
  <c r="DE127" i="3"/>
  <c r="DD127" i="3"/>
  <c r="DC127" i="3"/>
  <c r="DB127" i="3"/>
  <c r="DA127" i="3"/>
  <c r="CZ127" i="3"/>
  <c r="CY127" i="3"/>
  <c r="CX127" i="3"/>
  <c r="CW127" i="3"/>
  <c r="CV127" i="3"/>
  <c r="CU127" i="3"/>
  <c r="CS127" i="3"/>
  <c r="CR127" i="3"/>
  <c r="CQ127" i="3"/>
  <c r="CN127" i="3"/>
  <c r="BY127" i="3" s="1"/>
  <c r="CT127" i="3" s="1"/>
  <c r="BT127" i="3"/>
  <c r="BQ127" i="3"/>
  <c r="BN127" i="3"/>
  <c r="BM127" i="3"/>
  <c r="BL127" i="3"/>
  <c r="BK127" i="3"/>
  <c r="BJ127" i="3"/>
  <c r="BI127" i="3"/>
  <c r="BH127" i="3"/>
  <c r="BG127" i="3"/>
  <c r="BF127" i="3"/>
  <c r="BE127" i="3"/>
  <c r="BD127" i="3"/>
  <c r="BB127" i="3"/>
  <c r="BA127" i="3"/>
  <c r="AZ127" i="3"/>
  <c r="AW127" i="3"/>
  <c r="AH127" i="3"/>
  <c r="Z127" i="3"/>
  <c r="DI126" i="3"/>
  <c r="DH126" i="3"/>
  <c r="DG126" i="3"/>
  <c r="DE126" i="3"/>
  <c r="DD126" i="3"/>
  <c r="DC126" i="3"/>
  <c r="DB126" i="3"/>
  <c r="DA126" i="3"/>
  <c r="CZ126" i="3"/>
  <c r="CY126" i="3"/>
  <c r="CX126" i="3"/>
  <c r="CW126" i="3"/>
  <c r="CV126" i="3"/>
  <c r="CU126" i="3"/>
  <c r="CS126" i="3"/>
  <c r="CR126" i="3"/>
  <c r="CQ126" i="3"/>
  <c r="BY126" i="3"/>
  <c r="BR126" i="3"/>
  <c r="BQ126" i="3"/>
  <c r="BN126" i="3"/>
  <c r="BM126" i="3"/>
  <c r="BL126" i="3"/>
  <c r="BK126" i="3"/>
  <c r="BJ126" i="3"/>
  <c r="BI126" i="3"/>
  <c r="BH126" i="3"/>
  <c r="BG126" i="3"/>
  <c r="BF126" i="3"/>
  <c r="BE126" i="3"/>
  <c r="BD126" i="3"/>
  <c r="BB126" i="3"/>
  <c r="BA126" i="3"/>
  <c r="AZ126" i="3"/>
  <c r="AH126" i="3"/>
  <c r="AC126" i="3" s="1"/>
  <c r="G126" i="3"/>
  <c r="DI125" i="3"/>
  <c r="DH125" i="3"/>
  <c r="DG125" i="3"/>
  <c r="DE125" i="3"/>
  <c r="DD125" i="3"/>
  <c r="DC125" i="3"/>
  <c r="DB125" i="3"/>
  <c r="DA125" i="3"/>
  <c r="CZ125" i="3"/>
  <c r="CY125" i="3"/>
  <c r="CX125" i="3"/>
  <c r="CW125" i="3"/>
  <c r="CV125" i="3"/>
  <c r="CU125" i="3"/>
  <c r="CS125" i="3"/>
  <c r="CR125" i="3"/>
  <c r="CQ125" i="3"/>
  <c r="BY125" i="3"/>
  <c r="BT125" i="3" s="1"/>
  <c r="BR125" i="3"/>
  <c r="BQ125" i="3"/>
  <c r="BN125" i="3"/>
  <c r="BM125" i="3"/>
  <c r="BL125" i="3"/>
  <c r="BK125" i="3"/>
  <c r="BJ125" i="3"/>
  <c r="BI125" i="3"/>
  <c r="BH125" i="3"/>
  <c r="BG125" i="3"/>
  <c r="BF125" i="3"/>
  <c r="BE125" i="3"/>
  <c r="BD125" i="3"/>
  <c r="BB125" i="3"/>
  <c r="BA125" i="3"/>
  <c r="AZ125" i="3"/>
  <c r="AH125" i="3"/>
  <c r="BC125" i="3" s="1"/>
  <c r="G125" i="3"/>
  <c r="DI124" i="3"/>
  <c r="DH124" i="3"/>
  <c r="DG124" i="3"/>
  <c r="DE124" i="3"/>
  <c r="DD124" i="3"/>
  <c r="DC124" i="3"/>
  <c r="DB124" i="3"/>
  <c r="DA124" i="3"/>
  <c r="CZ124" i="3"/>
  <c r="CY124" i="3"/>
  <c r="CX124" i="3"/>
  <c r="CW124" i="3"/>
  <c r="CV124" i="3"/>
  <c r="CU124" i="3"/>
  <c r="CT124" i="3"/>
  <c r="CS124" i="3"/>
  <c r="CR124" i="3"/>
  <c r="CQ124" i="3"/>
  <c r="BT124" i="3"/>
  <c r="BR124" i="3"/>
  <c r="BQ124" i="3"/>
  <c r="BN124" i="3"/>
  <c r="BM124" i="3"/>
  <c r="BL124" i="3"/>
  <c r="BK124" i="3"/>
  <c r="BJ124" i="3"/>
  <c r="BI124" i="3"/>
  <c r="BH124" i="3"/>
  <c r="BG124" i="3"/>
  <c r="BF124" i="3"/>
  <c r="BE124" i="3"/>
  <c r="BD124" i="3"/>
  <c r="BC124" i="3"/>
  <c r="BB124" i="3"/>
  <c r="BA124" i="3"/>
  <c r="AZ124" i="3"/>
  <c r="AC124" i="3"/>
  <c r="G124" i="3"/>
  <c r="DI123" i="3"/>
  <c r="DH123" i="3"/>
  <c r="DG123" i="3"/>
  <c r="DE123" i="3"/>
  <c r="DD123" i="3"/>
  <c r="DC123" i="3"/>
  <c r="DB123" i="3"/>
  <c r="DA123" i="3"/>
  <c r="CZ123" i="3"/>
  <c r="CY123" i="3"/>
  <c r="CX123" i="3"/>
  <c r="CW123" i="3"/>
  <c r="CV123" i="3"/>
  <c r="CU123" i="3"/>
  <c r="CS123" i="3"/>
  <c r="CR123" i="3"/>
  <c r="CQ123" i="3"/>
  <c r="BY123" i="3"/>
  <c r="BT123" i="3" s="1"/>
  <c r="BR123" i="3"/>
  <c r="BQ123" i="3"/>
  <c r="BN123" i="3"/>
  <c r="BM123" i="3"/>
  <c r="BL123" i="3"/>
  <c r="BK123" i="3"/>
  <c r="BJ123" i="3"/>
  <c r="BI123" i="3"/>
  <c r="BH123" i="3"/>
  <c r="BG123" i="3"/>
  <c r="BF123" i="3"/>
  <c r="BE123" i="3"/>
  <c r="BD123" i="3"/>
  <c r="BB123" i="3"/>
  <c r="BA123" i="3"/>
  <c r="AZ123" i="3"/>
  <c r="AH123" i="3"/>
  <c r="AC123" i="3"/>
  <c r="K123" i="3"/>
  <c r="DI122" i="3"/>
  <c r="DH122" i="3"/>
  <c r="DG122" i="3"/>
  <c r="DE122" i="3"/>
  <c r="DD122" i="3"/>
  <c r="DC122" i="3"/>
  <c r="DB122" i="3"/>
  <c r="DA122" i="3"/>
  <c r="CZ122" i="3"/>
  <c r="CY122" i="3"/>
  <c r="CX122" i="3"/>
  <c r="CW122" i="3"/>
  <c r="CV122" i="3"/>
  <c r="CU122" i="3"/>
  <c r="CS122" i="3"/>
  <c r="CR122" i="3"/>
  <c r="CQ122" i="3"/>
  <c r="BY122" i="3"/>
  <c r="BT122" i="3"/>
  <c r="BR122" i="3"/>
  <c r="BQ122" i="3"/>
  <c r="BN122" i="3"/>
  <c r="BM122" i="3"/>
  <c r="BL122" i="3"/>
  <c r="BK122" i="3"/>
  <c r="BJ122" i="3"/>
  <c r="BI122" i="3"/>
  <c r="BH122" i="3"/>
  <c r="BG122" i="3"/>
  <c r="BF122" i="3"/>
  <c r="BE122" i="3"/>
  <c r="BD122" i="3"/>
  <c r="BB122" i="3"/>
  <c r="BA122" i="3"/>
  <c r="AZ122" i="3"/>
  <c r="AH122" i="3"/>
  <c r="AC122" i="3" s="1"/>
  <c r="K122" i="3"/>
  <c r="CL121" i="3"/>
  <c r="CL138" i="3" s="1"/>
  <c r="CH121" i="3"/>
  <c r="AU121" i="3"/>
  <c r="BP121" i="3" s="1"/>
  <c r="AQ121" i="3"/>
  <c r="T121" i="3"/>
  <c r="G121" i="3"/>
  <c r="G138" i="3" s="1"/>
  <c r="DI120" i="3"/>
  <c r="DH120" i="3"/>
  <c r="DG120" i="3"/>
  <c r="DE120" i="3"/>
  <c r="DD120" i="3"/>
  <c r="DC120" i="3"/>
  <c r="DA120" i="3"/>
  <c r="CZ120" i="3"/>
  <c r="CY120" i="3"/>
  <c r="CX120" i="3"/>
  <c r="CW120" i="3"/>
  <c r="CV120" i="3"/>
  <c r="CU120" i="3"/>
  <c r="CT120" i="3"/>
  <c r="CS120" i="3"/>
  <c r="CR120" i="3"/>
  <c r="CQ120" i="3"/>
  <c r="CG120" i="3"/>
  <c r="DB120" i="3" s="1"/>
  <c r="BR120" i="3"/>
  <c r="BQ120" i="3"/>
  <c r="BP120" i="3"/>
  <c r="BP133" i="3" s="1"/>
  <c r="BN120" i="3"/>
  <c r="BM120" i="3"/>
  <c r="BL120" i="3"/>
  <c r="BJ120" i="3"/>
  <c r="BI120" i="3"/>
  <c r="BH120" i="3"/>
  <c r="BG120" i="3"/>
  <c r="BF120" i="3"/>
  <c r="BE120" i="3"/>
  <c r="BD120" i="3"/>
  <c r="BC120" i="3"/>
  <c r="BB120" i="3"/>
  <c r="BA120" i="3"/>
  <c r="AZ120" i="3"/>
  <c r="AP120" i="3"/>
  <c r="G120" i="3"/>
  <c r="DI119" i="3"/>
  <c r="DH119" i="3"/>
  <c r="DG119" i="3"/>
  <c r="DE119" i="3"/>
  <c r="DD119" i="3"/>
  <c r="DC119" i="3"/>
  <c r="DB119" i="3"/>
  <c r="DA119" i="3"/>
  <c r="CZ119" i="3"/>
  <c r="CY119" i="3"/>
  <c r="CX119" i="3"/>
  <c r="CW119" i="3"/>
  <c r="CV119" i="3"/>
  <c r="CU119" i="3"/>
  <c r="CT119" i="3"/>
  <c r="CS119" i="3"/>
  <c r="CQ119" i="3"/>
  <c r="BW119" i="3"/>
  <c r="BT119" i="3" s="1"/>
  <c r="BR119" i="3"/>
  <c r="BQ119" i="3"/>
  <c r="BN119" i="3"/>
  <c r="BL119" i="3"/>
  <c r="BK119" i="3"/>
  <c r="BJ119" i="3"/>
  <c r="BI119" i="3"/>
  <c r="BH119" i="3"/>
  <c r="BG119" i="3"/>
  <c r="BF119" i="3"/>
  <c r="BE119" i="3"/>
  <c r="BD119" i="3"/>
  <c r="BC119" i="3"/>
  <c r="BB119" i="3"/>
  <c r="AZ119" i="3"/>
  <c r="AF119" i="3"/>
  <c r="AC119" i="3" s="1"/>
  <c r="U119" i="3"/>
  <c r="U133" i="3" s="1"/>
  <c r="I119" i="3"/>
  <c r="DH118" i="3"/>
  <c r="DG118" i="3"/>
  <c r="DE118" i="3"/>
  <c r="DD118" i="3"/>
  <c r="DC118" i="3"/>
  <c r="DB118" i="3"/>
  <c r="DA118" i="3"/>
  <c r="CZ118" i="3"/>
  <c r="CY118" i="3"/>
  <c r="CX118" i="3"/>
  <c r="CW118" i="3"/>
  <c r="CV118" i="3"/>
  <c r="CU118" i="3"/>
  <c r="CT118" i="3"/>
  <c r="CS118" i="3"/>
  <c r="CR118" i="3"/>
  <c r="CQ118" i="3"/>
  <c r="CN118" i="3"/>
  <c r="BT118" i="3"/>
  <c r="BQ118" i="3"/>
  <c r="BN118" i="3"/>
  <c r="BM118" i="3"/>
  <c r="BL118" i="3"/>
  <c r="BK118" i="3"/>
  <c r="BJ118" i="3"/>
  <c r="BI118" i="3"/>
  <c r="BH118" i="3"/>
  <c r="BG118" i="3"/>
  <c r="BF118" i="3"/>
  <c r="BE118" i="3"/>
  <c r="BD118" i="3"/>
  <c r="BC118" i="3"/>
  <c r="BB118" i="3"/>
  <c r="BA118" i="3"/>
  <c r="AZ118" i="3"/>
  <c r="AW118" i="3"/>
  <c r="AC118" i="3" s="1"/>
  <c r="Z118" i="3"/>
  <c r="DH117" i="3"/>
  <c r="DG117" i="3"/>
  <c r="DE117" i="3"/>
  <c r="DD117" i="3"/>
  <c r="DC117" i="3"/>
  <c r="DB117" i="3"/>
  <c r="DA117" i="3"/>
  <c r="CZ117" i="3"/>
  <c r="CY117" i="3"/>
  <c r="CX117" i="3"/>
  <c r="CW117" i="3"/>
  <c r="CV117" i="3"/>
  <c r="CU117" i="3"/>
  <c r="CT117" i="3"/>
  <c r="CS117" i="3"/>
  <c r="CR117" i="3"/>
  <c r="CQ117" i="3"/>
  <c r="CN117" i="3"/>
  <c r="BT117" i="3"/>
  <c r="BQ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W117" i="3"/>
  <c r="AC117" i="3" s="1"/>
  <c r="Z117" i="3"/>
  <c r="BR117" i="3" s="1"/>
  <c r="DH116" i="3"/>
  <c r="DG116" i="3"/>
  <c r="DE116" i="3"/>
  <c r="DD116" i="3"/>
  <c r="DC116" i="3"/>
  <c r="DB116" i="3"/>
  <c r="DA116" i="3"/>
  <c r="CZ116" i="3"/>
  <c r="CY116" i="3"/>
  <c r="CX116" i="3"/>
  <c r="CW116" i="3"/>
  <c r="CV116" i="3"/>
  <c r="CU116" i="3"/>
  <c r="CT116" i="3"/>
  <c r="CS116" i="3"/>
  <c r="CR116" i="3"/>
  <c r="CQ116" i="3"/>
  <c r="CN116" i="3"/>
  <c r="BT116" i="3" s="1"/>
  <c r="BQ116" i="3"/>
  <c r="BN116" i="3"/>
  <c r="BM116" i="3"/>
  <c r="BL116" i="3"/>
  <c r="BK116" i="3"/>
  <c r="BJ116" i="3"/>
  <c r="BI116" i="3"/>
  <c r="BH116" i="3"/>
  <c r="BG116" i="3"/>
  <c r="BF116" i="3"/>
  <c r="BE116" i="3"/>
  <c r="BD116" i="3"/>
  <c r="BC116" i="3"/>
  <c r="BB116" i="3"/>
  <c r="BA116" i="3"/>
  <c r="AZ116" i="3"/>
  <c r="AW116" i="3"/>
  <c r="AC116" i="3" s="1"/>
  <c r="Z116" i="3"/>
  <c r="DH115" i="3"/>
  <c r="DG115" i="3"/>
  <c r="DE115" i="3"/>
  <c r="DD115" i="3"/>
  <c r="DC115" i="3"/>
  <c r="DB115" i="3"/>
  <c r="DA115" i="3"/>
  <c r="CY115" i="3"/>
  <c r="CX115" i="3"/>
  <c r="CW115" i="3"/>
  <c r="CV115" i="3"/>
  <c r="CU115" i="3"/>
  <c r="CT115" i="3"/>
  <c r="CS115" i="3"/>
  <c r="CQ115" i="3"/>
  <c r="CE115" i="3"/>
  <c r="BW115" i="3"/>
  <c r="CR115" i="3" s="1"/>
  <c r="BQ115" i="3"/>
  <c r="BN115" i="3"/>
  <c r="BM115" i="3"/>
  <c r="BL115" i="3"/>
  <c r="BK115" i="3"/>
  <c r="BJ115" i="3"/>
  <c r="BI115" i="3"/>
  <c r="BH115" i="3"/>
  <c r="BG115" i="3"/>
  <c r="BF115" i="3"/>
  <c r="BE115" i="3"/>
  <c r="BD115" i="3"/>
  <c r="BC115" i="3"/>
  <c r="BB115" i="3"/>
  <c r="AZ115" i="3"/>
  <c r="AW115" i="3"/>
  <c r="AF115" i="3"/>
  <c r="Z115" i="3"/>
  <c r="G115" i="3"/>
  <c r="DI114" i="3"/>
  <c r="DH114" i="3"/>
  <c r="DG114" i="3"/>
  <c r="DE114" i="3"/>
  <c r="DD114" i="3"/>
  <c r="DC114" i="3"/>
  <c r="DB114" i="3"/>
  <c r="DA114" i="3"/>
  <c r="CZ114" i="3"/>
  <c r="CY114" i="3"/>
  <c r="CX114" i="3"/>
  <c r="CW114" i="3"/>
  <c r="CV114" i="3"/>
  <c r="CU114" i="3"/>
  <c r="CT114" i="3"/>
  <c r="CS114" i="3"/>
  <c r="CQ114" i="3"/>
  <c r="BW114" i="3"/>
  <c r="BR114" i="3"/>
  <c r="BQ114" i="3"/>
  <c r="BN114" i="3"/>
  <c r="BM114" i="3"/>
  <c r="BL114" i="3"/>
  <c r="BK114" i="3"/>
  <c r="BJ114" i="3"/>
  <c r="BI114" i="3"/>
  <c r="BH114" i="3"/>
  <c r="BG114" i="3"/>
  <c r="BF114" i="3"/>
  <c r="BE114" i="3"/>
  <c r="BD114" i="3"/>
  <c r="BC114" i="3"/>
  <c r="BB114" i="3"/>
  <c r="AZ114" i="3"/>
  <c r="AF114" i="3"/>
  <c r="AC114" i="3" s="1"/>
  <c r="G114" i="3"/>
  <c r="DI113" i="3"/>
  <c r="DH113" i="3"/>
  <c r="DG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Q113" i="3"/>
  <c r="BW113" i="3"/>
  <c r="BT113" i="3" s="1"/>
  <c r="BR113" i="3"/>
  <c r="BQ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AZ113" i="3"/>
  <c r="AF113" i="3"/>
  <c r="AC113" i="3" s="1"/>
  <c r="I113" i="3"/>
  <c r="DH112" i="3"/>
  <c r="DG112" i="3"/>
  <c r="DE112" i="3"/>
  <c r="DD112" i="3"/>
  <c r="DC112" i="3"/>
  <c r="DB112" i="3"/>
  <c r="DA112" i="3"/>
  <c r="CY112" i="3"/>
  <c r="CX112" i="3"/>
  <c r="CW112" i="3"/>
  <c r="CV112" i="3"/>
  <c r="CU112" i="3"/>
  <c r="CT112" i="3"/>
  <c r="CS112" i="3"/>
  <c r="CQ112" i="3"/>
  <c r="CN112" i="3"/>
  <c r="BW112" i="3"/>
  <c r="BQ112" i="3"/>
  <c r="BN112" i="3"/>
  <c r="BM112" i="3"/>
  <c r="BL112" i="3"/>
  <c r="BK112" i="3"/>
  <c r="BJ112" i="3"/>
  <c r="BH112" i="3"/>
  <c r="BG112" i="3"/>
  <c r="BF112" i="3"/>
  <c r="BE112" i="3"/>
  <c r="BD112" i="3"/>
  <c r="BC112" i="3"/>
  <c r="BB112" i="3"/>
  <c r="AZ112" i="3"/>
  <c r="AW112" i="3"/>
  <c r="AN112" i="3"/>
  <c r="AN133" i="3" s="1"/>
  <c r="AF112" i="3"/>
  <c r="Z112" i="3"/>
  <c r="Q112" i="3"/>
  <c r="I112" i="3"/>
  <c r="DI111" i="3"/>
  <c r="DH111" i="3"/>
  <c r="DG111" i="3"/>
  <c r="DE111" i="3"/>
  <c r="DD111" i="3"/>
  <c r="DC111" i="3"/>
  <c r="DB111" i="3"/>
  <c r="DA111" i="3"/>
  <c r="CY111" i="3"/>
  <c r="CX111" i="3"/>
  <c r="CW111" i="3"/>
  <c r="CV111" i="3"/>
  <c r="CU111" i="3"/>
  <c r="CT111" i="3"/>
  <c r="CR111" i="3"/>
  <c r="CQ111" i="3"/>
  <c r="CE111" i="3"/>
  <c r="BX111" i="3"/>
  <c r="BR111" i="3"/>
  <c r="BQ111" i="3"/>
  <c r="BN111" i="3"/>
  <c r="BM111" i="3"/>
  <c r="BL111" i="3"/>
  <c r="BK111" i="3"/>
  <c r="BJ111" i="3"/>
  <c r="BH111" i="3"/>
  <c r="BG111" i="3"/>
  <c r="BF111" i="3"/>
  <c r="BE111" i="3"/>
  <c r="BD111" i="3"/>
  <c r="BC111" i="3"/>
  <c r="BA111" i="3"/>
  <c r="AZ111" i="3"/>
  <c r="AN111" i="3"/>
  <c r="AG111" i="3"/>
  <c r="Q111" i="3"/>
  <c r="J111" i="3"/>
  <c r="DH110" i="3"/>
  <c r="DG110" i="3"/>
  <c r="DE110" i="3"/>
  <c r="DD110" i="3"/>
  <c r="DC110" i="3"/>
  <c r="DB110" i="3"/>
  <c r="DA110" i="3"/>
  <c r="CX110" i="3"/>
  <c r="CW110" i="3"/>
  <c r="CV110" i="3"/>
  <c r="CU110" i="3"/>
  <c r="CT110" i="3"/>
  <c r="CQ110" i="3"/>
  <c r="CN110" i="3"/>
  <c r="CE110" i="3"/>
  <c r="CZ110" i="3" s="1"/>
  <c r="BX110" i="3"/>
  <c r="CS110" i="3" s="1"/>
  <c r="BW110" i="3"/>
  <c r="BQ110" i="3"/>
  <c r="BN110" i="3"/>
  <c r="BM110" i="3"/>
  <c r="BL110" i="3"/>
  <c r="BK110" i="3"/>
  <c r="BJ110" i="3"/>
  <c r="BH110" i="3"/>
  <c r="BG110" i="3"/>
  <c r="BF110" i="3"/>
  <c r="BE110" i="3"/>
  <c r="BD110" i="3"/>
  <c r="BC110" i="3"/>
  <c r="AZ110" i="3"/>
  <c r="AW110" i="3"/>
  <c r="AN110" i="3"/>
  <c r="BI110" i="3" s="1"/>
  <c r="AG110" i="3"/>
  <c r="AF110" i="3"/>
  <c r="Z110" i="3"/>
  <c r="Q110" i="3"/>
  <c r="P110" i="3"/>
  <c r="P132" i="3" s="1"/>
  <c r="I110" i="3"/>
  <c r="DH109" i="3"/>
  <c r="DG109" i="3"/>
  <c r="DE109" i="3"/>
  <c r="DD109" i="3"/>
  <c r="DC109" i="3"/>
  <c r="DB109" i="3"/>
  <c r="DA109" i="3"/>
  <c r="CY109" i="3"/>
  <c r="CX109" i="3"/>
  <c r="CU109" i="3"/>
  <c r="CT109" i="3"/>
  <c r="CQ109" i="3"/>
  <c r="CN109" i="3"/>
  <c r="BQ109" i="3"/>
  <c r="BN109" i="3"/>
  <c r="BM109" i="3"/>
  <c r="BL109" i="3"/>
  <c r="BK109" i="3"/>
  <c r="BJ109" i="3"/>
  <c r="BH109" i="3"/>
  <c r="BD109" i="3"/>
  <c r="BC109" i="3"/>
  <c r="AZ109" i="3"/>
  <c r="AW109" i="3"/>
  <c r="BW109" i="3" s="1"/>
  <c r="AF109" i="3"/>
  <c r="Z109" i="3"/>
  <c r="Q109" i="3"/>
  <c r="O109" i="3"/>
  <c r="N109" i="3"/>
  <c r="CW109" i="3" s="1"/>
  <c r="M109" i="3"/>
  <c r="J109" i="3"/>
  <c r="I109" i="3"/>
  <c r="DF108" i="3"/>
  <c r="CM108" i="3"/>
  <c r="CL108" i="3"/>
  <c r="CH108" i="3"/>
  <c r="CG108" i="3"/>
  <c r="CF108" i="3"/>
  <c r="CE108" i="3"/>
  <c r="CD108" i="3"/>
  <c r="CC108" i="3"/>
  <c r="CB108" i="3"/>
  <c r="BZ108" i="3"/>
  <c r="BY108" i="3"/>
  <c r="BW108" i="3"/>
  <c r="BU108" i="3"/>
  <c r="BO108" i="3"/>
  <c r="AV108" i="3"/>
  <c r="AU108" i="3"/>
  <c r="AT108" i="3"/>
  <c r="AQ108" i="3"/>
  <c r="AP108" i="3"/>
  <c r="AO108" i="3"/>
  <c r="AN108" i="3"/>
  <c r="AM108" i="3"/>
  <c r="AL108" i="3"/>
  <c r="AK108" i="3"/>
  <c r="AJ108" i="3"/>
  <c r="AI108" i="3"/>
  <c r="AG108" i="3"/>
  <c r="Y108" i="3"/>
  <c r="X108" i="3"/>
  <c r="W108" i="3"/>
  <c r="T108" i="3"/>
  <c r="S108" i="3"/>
  <c r="R108" i="3"/>
  <c r="Q108" i="3"/>
  <c r="P108" i="3"/>
  <c r="O108" i="3"/>
  <c r="N108" i="3"/>
  <c r="M108" i="3"/>
  <c r="L108" i="3"/>
  <c r="K108" i="3"/>
  <c r="J108" i="3"/>
  <c r="H108" i="3"/>
  <c r="DI107" i="3"/>
  <c r="DH107" i="3"/>
  <c r="DG107" i="3"/>
  <c r="DE107" i="3"/>
  <c r="DC107" i="3"/>
  <c r="DB107" i="3"/>
  <c r="DA107" i="3"/>
  <c r="CZ107" i="3"/>
  <c r="CY107" i="3"/>
  <c r="CX107" i="3"/>
  <c r="CW107" i="3"/>
  <c r="CV107" i="3"/>
  <c r="CU107" i="3"/>
  <c r="CT107" i="3"/>
  <c r="CS107" i="3"/>
  <c r="CQ107" i="3"/>
  <c r="CI107" i="3"/>
  <c r="BT107" i="3" s="1"/>
  <c r="BR107" i="3"/>
  <c r="BQ107" i="3"/>
  <c r="BN107" i="3"/>
  <c r="BL107" i="3"/>
  <c r="BK107" i="3"/>
  <c r="BJ107" i="3"/>
  <c r="BI107" i="3"/>
  <c r="BH107" i="3"/>
  <c r="BG107" i="3"/>
  <c r="BF107" i="3"/>
  <c r="BE107" i="3"/>
  <c r="BD107" i="3"/>
  <c r="BC107" i="3"/>
  <c r="BB107" i="3"/>
  <c r="AZ107" i="3"/>
  <c r="AR107" i="3"/>
  <c r="AR140" i="3" s="1"/>
  <c r="U107" i="3"/>
  <c r="I107" i="3"/>
  <c r="I140" i="3" s="1"/>
  <c r="DI106" i="3"/>
  <c r="DH106" i="3"/>
  <c r="DG106" i="3"/>
  <c r="DD106" i="3"/>
  <c r="DC106" i="3"/>
  <c r="DB106" i="3"/>
  <c r="DA106" i="3"/>
  <c r="CZ106" i="3"/>
  <c r="CY106" i="3"/>
  <c r="CX106" i="3"/>
  <c r="CW106" i="3"/>
  <c r="CV106" i="3"/>
  <c r="CU106" i="3"/>
  <c r="CT106" i="3"/>
  <c r="CS106" i="3"/>
  <c r="CR106" i="3"/>
  <c r="CQ106" i="3"/>
  <c r="CJ106" i="3"/>
  <c r="DE106" i="3" s="1"/>
  <c r="BR106" i="3"/>
  <c r="BQ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S106" i="3"/>
  <c r="AC106" i="3" s="1"/>
  <c r="G106" i="3"/>
  <c r="DI105" i="3"/>
  <c r="DH105" i="3"/>
  <c r="DG105" i="3"/>
  <c r="DD105" i="3"/>
  <c r="DC105" i="3"/>
  <c r="DB105" i="3"/>
  <c r="DA105" i="3"/>
  <c r="CZ105" i="3"/>
  <c r="CY105" i="3"/>
  <c r="CX105" i="3"/>
  <c r="CW105" i="3"/>
  <c r="CV105" i="3"/>
  <c r="CU105" i="3"/>
  <c r="CT105" i="3"/>
  <c r="CS105" i="3"/>
  <c r="CR105" i="3"/>
  <c r="CQ105" i="3"/>
  <c r="CJ105" i="3"/>
  <c r="DE105" i="3" s="1"/>
  <c r="BR105" i="3"/>
  <c r="BQ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S105" i="3"/>
  <c r="AC105" i="3" s="1"/>
  <c r="G105" i="3"/>
  <c r="DI104" i="3"/>
  <c r="DH104" i="3"/>
  <c r="DG104" i="3"/>
  <c r="DD104" i="3"/>
  <c r="DC104" i="3"/>
  <c r="DB104" i="3"/>
  <c r="DA104" i="3"/>
  <c r="CZ104" i="3"/>
  <c r="CY104" i="3"/>
  <c r="CX104" i="3"/>
  <c r="CW104" i="3"/>
  <c r="CV104" i="3"/>
  <c r="CU104" i="3"/>
  <c r="CT104" i="3"/>
  <c r="CS104" i="3"/>
  <c r="CR104" i="3"/>
  <c r="BV104" i="3"/>
  <c r="BT104" i="3"/>
  <c r="BR104" i="3"/>
  <c r="BQ104" i="3"/>
  <c r="BM104" i="3"/>
  <c r="BL104" i="3"/>
  <c r="BK104" i="3"/>
  <c r="BJ104" i="3"/>
  <c r="BI104" i="3"/>
  <c r="BH104" i="3"/>
  <c r="BG104" i="3"/>
  <c r="BF104" i="3"/>
  <c r="BE104" i="3"/>
  <c r="BD104" i="3"/>
  <c r="BB104" i="3"/>
  <c r="AS104" i="3"/>
  <c r="AH104" i="3"/>
  <c r="AH140" i="3" s="1"/>
  <c r="AF104" i="3"/>
  <c r="AF140" i="3" s="1"/>
  <c r="AE104" i="3"/>
  <c r="V104" i="3"/>
  <c r="DH103" i="3"/>
  <c r="DG103" i="3"/>
  <c r="DD103" i="3"/>
  <c r="DC103" i="3"/>
  <c r="DB103" i="3"/>
  <c r="DA103" i="3"/>
  <c r="CZ103" i="3"/>
  <c r="CY103" i="3"/>
  <c r="CX103" i="3"/>
  <c r="CW103" i="3"/>
  <c r="CV103" i="3"/>
  <c r="CU103" i="3"/>
  <c r="CT103" i="3"/>
  <c r="CS103" i="3"/>
  <c r="CR103" i="3"/>
  <c r="CQ103" i="3"/>
  <c r="CN103" i="3"/>
  <c r="CJ103" i="3"/>
  <c r="BT103" i="3" s="1"/>
  <c r="BQ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W103" i="3"/>
  <c r="AS103" i="3"/>
  <c r="Z103" i="3"/>
  <c r="V103" i="3"/>
  <c r="DH102" i="3"/>
  <c r="DG102" i="3"/>
  <c r="DD102" i="3"/>
  <c r="DC102" i="3"/>
  <c r="DB102" i="3"/>
  <c r="DA102" i="3"/>
  <c r="CZ102" i="3"/>
  <c r="CY102" i="3"/>
  <c r="CX102" i="3"/>
  <c r="CW102" i="3"/>
  <c r="CV102" i="3"/>
  <c r="CU102" i="3"/>
  <c r="CT102" i="3"/>
  <c r="CS102" i="3"/>
  <c r="CR102" i="3"/>
  <c r="CQ102" i="3"/>
  <c r="CN102" i="3"/>
  <c r="BQ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W102" i="3"/>
  <c r="AS102" i="3"/>
  <c r="Z102" i="3"/>
  <c r="G102" i="3" s="1"/>
  <c r="DH101" i="3"/>
  <c r="DG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Q101" i="3"/>
  <c r="CJ101" i="3"/>
  <c r="DE101" i="3" s="1"/>
  <c r="BQ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S101" i="3"/>
  <c r="Z101" i="3"/>
  <c r="BR101" i="3" s="1"/>
  <c r="DI100" i="3"/>
  <c r="DH100" i="3"/>
  <c r="DG100" i="3"/>
  <c r="DD100" i="3"/>
  <c r="DC100" i="3"/>
  <c r="DB100" i="3"/>
  <c r="DA100" i="3"/>
  <c r="CZ100" i="3"/>
  <c r="CY100" i="3"/>
  <c r="CX100" i="3"/>
  <c r="CW100" i="3"/>
  <c r="CV100" i="3"/>
  <c r="CU100" i="3"/>
  <c r="CT100" i="3"/>
  <c r="CS100" i="3"/>
  <c r="CR100" i="3"/>
  <c r="CQ100" i="3"/>
  <c r="CJ100" i="3"/>
  <c r="DE100" i="3" s="1"/>
  <c r="BR100" i="3"/>
  <c r="BQ100" i="3"/>
  <c r="BP100" i="3"/>
  <c r="BP140" i="3" s="1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S100" i="3"/>
  <c r="BN100" i="3" s="1"/>
  <c r="G100" i="3"/>
  <c r="DI99" i="3"/>
  <c r="DH99" i="3"/>
  <c r="DG99" i="3"/>
  <c r="DE99" i="3"/>
  <c r="DD99" i="3"/>
  <c r="DC99" i="3"/>
  <c r="DB99" i="3"/>
  <c r="DA99" i="3"/>
  <c r="CZ99" i="3"/>
  <c r="CY99" i="3"/>
  <c r="CX99" i="3"/>
  <c r="CW99" i="3"/>
  <c r="CV99" i="3"/>
  <c r="CU99" i="3"/>
  <c r="CT99" i="3"/>
  <c r="CS99" i="3"/>
  <c r="CR99" i="3"/>
  <c r="CQ99" i="3"/>
  <c r="BT99" i="3"/>
  <c r="BS99" i="3" s="1"/>
  <c r="CO99" i="3" s="1"/>
  <c r="BR99" i="3"/>
  <c r="BQ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C99" i="3"/>
  <c r="G99" i="3"/>
  <c r="DI98" i="3"/>
  <c r="DH98" i="3"/>
  <c r="DG98" i="3"/>
  <c r="DC98" i="3"/>
  <c r="DB98" i="3"/>
  <c r="DA98" i="3"/>
  <c r="CZ98" i="3"/>
  <c r="CY98" i="3"/>
  <c r="CX98" i="3"/>
  <c r="CW98" i="3"/>
  <c r="CV98" i="3"/>
  <c r="CU98" i="3"/>
  <c r="CT98" i="3"/>
  <c r="CS98" i="3"/>
  <c r="CR98" i="3"/>
  <c r="CQ98" i="3"/>
  <c r="CJ98" i="3"/>
  <c r="BR98" i="3"/>
  <c r="BQ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S98" i="3"/>
  <c r="BN98" i="3" s="1"/>
  <c r="U98" i="3"/>
  <c r="G98" i="3" s="1"/>
  <c r="DI97" i="3"/>
  <c r="DH97" i="3"/>
  <c r="DG97" i="3"/>
  <c r="DD97" i="3"/>
  <c r="DC97" i="3"/>
  <c r="DB97" i="3"/>
  <c r="DA97" i="3"/>
  <c r="CZ97" i="3"/>
  <c r="CY97" i="3"/>
  <c r="CX97" i="3"/>
  <c r="CW97" i="3"/>
  <c r="CV97" i="3"/>
  <c r="CU97" i="3"/>
  <c r="CT97" i="3"/>
  <c r="CS97" i="3"/>
  <c r="CR97" i="3"/>
  <c r="CQ97" i="3"/>
  <c r="CJ97" i="3"/>
  <c r="BR97" i="3"/>
  <c r="BQ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S97" i="3"/>
  <c r="G97" i="3"/>
  <c r="DH96" i="3"/>
  <c r="DG96" i="3"/>
  <c r="DE96" i="3"/>
  <c r="DD96" i="3"/>
  <c r="DC96" i="3"/>
  <c r="DB96" i="3"/>
  <c r="DA96" i="3"/>
  <c r="CZ96" i="3"/>
  <c r="CY96" i="3"/>
  <c r="CX96" i="3"/>
  <c r="CW96" i="3"/>
  <c r="CV96" i="3"/>
  <c r="CU96" i="3"/>
  <c r="CT96" i="3"/>
  <c r="CS96" i="3"/>
  <c r="CR96" i="3"/>
  <c r="CQ96" i="3"/>
  <c r="CN96" i="3"/>
  <c r="BQ96" i="3"/>
  <c r="BM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Z96" i="3"/>
  <c r="AW96" i="3"/>
  <c r="AS96" i="3"/>
  <c r="Z96" i="3"/>
  <c r="DI95" i="3"/>
  <c r="DH95" i="3"/>
  <c r="DG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/>
  <c r="CJ95" i="3"/>
  <c r="BT95" i="3" s="1"/>
  <c r="BR95" i="3"/>
  <c r="BQ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S95" i="3"/>
  <c r="V95" i="3"/>
  <c r="G95" i="3"/>
  <c r="DI94" i="3"/>
  <c r="DH94" i="3"/>
  <c r="DG94" i="3"/>
  <c r="DD94" i="3"/>
  <c r="DC94" i="3"/>
  <c r="DB94" i="3"/>
  <c r="DA94" i="3"/>
  <c r="CZ94" i="3"/>
  <c r="CY94" i="3"/>
  <c r="CX94" i="3"/>
  <c r="CW94" i="3"/>
  <c r="CV94" i="3"/>
  <c r="CU94" i="3"/>
  <c r="CT94" i="3"/>
  <c r="CS94" i="3"/>
  <c r="CR94" i="3"/>
  <c r="CQ94" i="3"/>
  <c r="CJ94" i="3"/>
  <c r="BT94" i="3" s="1"/>
  <c r="BR94" i="3"/>
  <c r="BQ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S94" i="3"/>
  <c r="V94" i="3"/>
  <c r="G94" i="3" s="1"/>
  <c r="DI93" i="3"/>
  <c r="DH93" i="3"/>
  <c r="DG93" i="3"/>
  <c r="DD93" i="3"/>
  <c r="DC93" i="3"/>
  <c r="DB93" i="3"/>
  <c r="DA93" i="3"/>
  <c r="CZ93" i="3"/>
  <c r="CY93" i="3"/>
  <c r="CX93" i="3"/>
  <c r="CW93" i="3"/>
  <c r="CV93" i="3"/>
  <c r="CU93" i="3"/>
  <c r="CT93" i="3"/>
  <c r="CS93" i="3"/>
  <c r="CR93" i="3"/>
  <c r="CQ93" i="3"/>
  <c r="CJ93" i="3"/>
  <c r="BT93" i="3"/>
  <c r="BR93" i="3"/>
  <c r="BQ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Z93" i="3"/>
  <c r="AS93" i="3"/>
  <c r="AC93" i="3" s="1"/>
  <c r="V93" i="3"/>
  <c r="DE93" i="3" s="1"/>
  <c r="DF91" i="3"/>
  <c r="CM91" i="3"/>
  <c r="CL91" i="3"/>
  <c r="CJ91" i="3"/>
  <c r="CI91" i="3"/>
  <c r="CH91" i="3"/>
  <c r="CE91" i="3"/>
  <c r="CD91" i="3"/>
  <c r="CC91" i="3"/>
  <c r="CB91" i="3"/>
  <c r="CA91" i="3"/>
  <c r="BX91" i="3"/>
  <c r="BW91" i="3"/>
  <c r="BV91" i="3"/>
  <c r="BU91" i="3"/>
  <c r="BO91" i="3"/>
  <c r="AV91" i="3"/>
  <c r="AU91" i="3"/>
  <c r="AT91" i="3"/>
  <c r="AS91" i="3"/>
  <c r="AR91" i="3"/>
  <c r="AQ91" i="3"/>
  <c r="AN91" i="3"/>
  <c r="AM91" i="3"/>
  <c r="AL91" i="3"/>
  <c r="AK91" i="3"/>
  <c r="AJ91" i="3"/>
  <c r="AG91" i="3"/>
  <c r="AF91" i="3"/>
  <c r="AE91" i="3"/>
  <c r="Y91" i="3"/>
  <c r="X91" i="3"/>
  <c r="W91" i="3"/>
  <c r="V91" i="3"/>
  <c r="U91" i="3"/>
  <c r="T91" i="3"/>
  <c r="Q91" i="3"/>
  <c r="P91" i="3"/>
  <c r="O91" i="3"/>
  <c r="N91" i="3"/>
  <c r="M91" i="3"/>
  <c r="J91" i="3"/>
  <c r="I91" i="3"/>
  <c r="H91" i="3"/>
  <c r="DH90" i="3"/>
  <c r="DG90" i="3"/>
  <c r="DE90" i="3"/>
  <c r="DD90" i="3"/>
  <c r="DC90" i="3"/>
  <c r="DB90" i="3"/>
  <c r="DA90" i="3"/>
  <c r="CZ90" i="3"/>
  <c r="CY90" i="3"/>
  <c r="CX90" i="3"/>
  <c r="CW90" i="3"/>
  <c r="CV90" i="3"/>
  <c r="CU90" i="3"/>
  <c r="CT90" i="3"/>
  <c r="CS90" i="3"/>
  <c r="CR90" i="3"/>
  <c r="CQ90" i="3"/>
  <c r="CN90" i="3"/>
  <c r="BT90" i="3" s="1"/>
  <c r="BQ90" i="3"/>
  <c r="BP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Z90" i="3"/>
  <c r="AW90" i="3"/>
  <c r="AC90" i="3" s="1"/>
  <c r="Z90" i="3"/>
  <c r="DI89" i="3"/>
  <c r="DH89" i="3"/>
  <c r="DG89" i="3"/>
  <c r="DE89" i="3"/>
  <c r="DD89" i="3"/>
  <c r="DC89" i="3"/>
  <c r="DA89" i="3"/>
  <c r="CZ89" i="3"/>
  <c r="CY89" i="3"/>
  <c r="CX89" i="3"/>
  <c r="CW89" i="3"/>
  <c r="CV89" i="3"/>
  <c r="CU89" i="3"/>
  <c r="CS89" i="3"/>
  <c r="CR89" i="3"/>
  <c r="CQ89" i="3"/>
  <c r="CG89" i="3"/>
  <c r="DB89" i="3" s="1"/>
  <c r="BY89" i="3"/>
  <c r="BR89" i="3"/>
  <c r="BQ89" i="3"/>
  <c r="BP89" i="3"/>
  <c r="BN89" i="3"/>
  <c r="BM89" i="3"/>
  <c r="BL89" i="3"/>
  <c r="BJ89" i="3"/>
  <c r="BI89" i="3"/>
  <c r="BH89" i="3"/>
  <c r="BG89" i="3"/>
  <c r="BF89" i="3"/>
  <c r="BE89" i="3"/>
  <c r="BD89" i="3"/>
  <c r="BB89" i="3"/>
  <c r="BA89" i="3"/>
  <c r="AZ89" i="3"/>
  <c r="AP89" i="3"/>
  <c r="BK89" i="3" s="1"/>
  <c r="AH89" i="3"/>
  <c r="G89" i="3"/>
  <c r="DH88" i="3"/>
  <c r="DG88" i="3"/>
  <c r="DE88" i="3"/>
  <c r="DD88" i="3"/>
  <c r="DC88" i="3"/>
  <c r="DB88" i="3"/>
  <c r="DA88" i="3"/>
  <c r="CZ88" i="3"/>
  <c r="CY88" i="3"/>
  <c r="CX88" i="3"/>
  <c r="CW88" i="3"/>
  <c r="CV88" i="3"/>
  <c r="CU88" i="3"/>
  <c r="CS88" i="3"/>
  <c r="CR88" i="3"/>
  <c r="CQ88" i="3"/>
  <c r="BY88" i="3"/>
  <c r="CT88" i="3" s="1"/>
  <c r="BQ88" i="3"/>
  <c r="BN88" i="3"/>
  <c r="BM88" i="3"/>
  <c r="BL88" i="3"/>
  <c r="BK88" i="3"/>
  <c r="BJ88" i="3"/>
  <c r="BI88" i="3"/>
  <c r="BH88" i="3"/>
  <c r="BG88" i="3"/>
  <c r="BF88" i="3"/>
  <c r="BE88" i="3"/>
  <c r="BD88" i="3"/>
  <c r="BB88" i="3"/>
  <c r="BA88" i="3"/>
  <c r="AZ88" i="3"/>
  <c r="AH88" i="3"/>
  <c r="BC88" i="3" s="1"/>
  <c r="AC88" i="3"/>
  <c r="Z88" i="3"/>
  <c r="DI87" i="3"/>
  <c r="DH87" i="3"/>
  <c r="DG87" i="3"/>
  <c r="DE87" i="3"/>
  <c r="DD87" i="3"/>
  <c r="DC87" i="3"/>
  <c r="DB87" i="3"/>
  <c r="DA87" i="3"/>
  <c r="CZ87" i="3"/>
  <c r="CY87" i="3"/>
  <c r="CX87" i="3"/>
  <c r="CW87" i="3"/>
  <c r="CV87" i="3"/>
  <c r="CU87" i="3"/>
  <c r="CS87" i="3"/>
  <c r="CR87" i="3"/>
  <c r="CQ87" i="3"/>
  <c r="BY87" i="3"/>
  <c r="BR87" i="3"/>
  <c r="BQ87" i="3"/>
  <c r="BN87" i="3"/>
  <c r="BM87" i="3"/>
  <c r="BL87" i="3"/>
  <c r="BK87" i="3"/>
  <c r="BJ87" i="3"/>
  <c r="BI87" i="3"/>
  <c r="BH87" i="3"/>
  <c r="BG87" i="3"/>
  <c r="BF87" i="3"/>
  <c r="BE87" i="3"/>
  <c r="BD87" i="3"/>
  <c r="BB87" i="3"/>
  <c r="BA87" i="3"/>
  <c r="AZ87" i="3"/>
  <c r="AH87" i="3"/>
  <c r="BC87" i="3" s="1"/>
  <c r="AC87" i="3"/>
  <c r="G87" i="3"/>
  <c r="DI86" i="3"/>
  <c r="DH86" i="3"/>
  <c r="DG86" i="3"/>
  <c r="DE86" i="3"/>
  <c r="DD86" i="3"/>
  <c r="DC86" i="3"/>
  <c r="DB86" i="3"/>
  <c r="DA86" i="3"/>
  <c r="CZ86" i="3"/>
  <c r="CY86" i="3"/>
  <c r="CX86" i="3"/>
  <c r="CW86" i="3"/>
  <c r="CV86" i="3"/>
  <c r="CU86" i="3"/>
  <c r="CS86" i="3"/>
  <c r="CR86" i="3"/>
  <c r="CQ86" i="3"/>
  <c r="BY86" i="3"/>
  <c r="BR86" i="3"/>
  <c r="BQ86" i="3"/>
  <c r="BN86" i="3"/>
  <c r="BM86" i="3"/>
  <c r="BL86" i="3"/>
  <c r="BK86" i="3"/>
  <c r="BJ86" i="3"/>
  <c r="BI86" i="3"/>
  <c r="BH86" i="3"/>
  <c r="BG86" i="3"/>
  <c r="BF86" i="3"/>
  <c r="BE86" i="3"/>
  <c r="BD86" i="3"/>
  <c r="BC86" i="3"/>
  <c r="BB86" i="3"/>
  <c r="BA86" i="3"/>
  <c r="AZ86" i="3"/>
  <c r="AH86" i="3"/>
  <c r="AC86" i="3" s="1"/>
  <c r="G86" i="3"/>
  <c r="DI85" i="3"/>
  <c r="DH85" i="3"/>
  <c r="DG85" i="3"/>
  <c r="DE85" i="3"/>
  <c r="DD85" i="3"/>
  <c r="DC85" i="3"/>
  <c r="DB85" i="3"/>
  <c r="DA85" i="3"/>
  <c r="CZ85" i="3"/>
  <c r="CY85" i="3"/>
  <c r="CX85" i="3"/>
  <c r="CW85" i="3"/>
  <c r="CV85" i="3"/>
  <c r="CU85" i="3"/>
  <c r="CT85" i="3"/>
  <c r="CS85" i="3"/>
  <c r="CR85" i="3"/>
  <c r="CQ85" i="3"/>
  <c r="BT85" i="3"/>
  <c r="BR85" i="3"/>
  <c r="BQ85" i="3"/>
  <c r="BP85" i="3"/>
  <c r="BN85" i="3"/>
  <c r="BM85" i="3"/>
  <c r="BL85" i="3"/>
  <c r="BK85" i="3"/>
  <c r="BJ85" i="3"/>
  <c r="BI85" i="3"/>
  <c r="BH85" i="3"/>
  <c r="BG85" i="3"/>
  <c r="BF85" i="3"/>
  <c r="BE85" i="3"/>
  <c r="BD85" i="3"/>
  <c r="BC85" i="3"/>
  <c r="BB85" i="3"/>
  <c r="BA85" i="3"/>
  <c r="AZ85" i="3"/>
  <c r="AC85" i="3"/>
  <c r="AB85" i="3" s="1"/>
  <c r="AX85" i="3" s="1"/>
  <c r="G85" i="3"/>
  <c r="DI84" i="3"/>
  <c r="DH84" i="3"/>
  <c r="DG84" i="3"/>
  <c r="DE84" i="3"/>
  <c r="DD84" i="3"/>
  <c r="DC84" i="3"/>
  <c r="DB84" i="3"/>
  <c r="DA84" i="3"/>
  <c r="CZ84" i="3"/>
  <c r="CY84" i="3"/>
  <c r="CX84" i="3"/>
  <c r="CW84" i="3"/>
  <c r="CV84" i="3"/>
  <c r="CU84" i="3"/>
  <c r="CT84" i="3"/>
  <c r="CS84" i="3"/>
  <c r="CR84" i="3"/>
  <c r="CQ84" i="3"/>
  <c r="BT84" i="3"/>
  <c r="BR84" i="3"/>
  <c r="BQ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C84" i="3"/>
  <c r="G84" i="3"/>
  <c r="BS84" i="3" s="1"/>
  <c r="CO84" i="3" s="1"/>
  <c r="DI83" i="3"/>
  <c r="DH83" i="3"/>
  <c r="DG83" i="3"/>
  <c r="DE83" i="3"/>
  <c r="DD83" i="3"/>
  <c r="DC83" i="3"/>
  <c r="DA83" i="3"/>
  <c r="CZ83" i="3"/>
  <c r="CY83" i="3"/>
  <c r="CX83" i="3"/>
  <c r="CW83" i="3"/>
  <c r="CV83" i="3"/>
  <c r="CU83" i="3"/>
  <c r="CT83" i="3"/>
  <c r="CS83" i="3"/>
  <c r="CR83" i="3"/>
  <c r="CQ83" i="3"/>
  <c r="CG83" i="3"/>
  <c r="BR83" i="3"/>
  <c r="BQ83" i="3"/>
  <c r="BP83" i="3"/>
  <c r="BN83" i="3"/>
  <c r="BM83" i="3"/>
  <c r="BL83" i="3"/>
  <c r="BJ83" i="3"/>
  <c r="BI83" i="3"/>
  <c r="BH83" i="3"/>
  <c r="BG83" i="3"/>
  <c r="BF83" i="3"/>
  <c r="BE83" i="3"/>
  <c r="BD83" i="3"/>
  <c r="BB83" i="3"/>
  <c r="BA83" i="3"/>
  <c r="AZ83" i="3"/>
  <c r="AP83" i="3"/>
  <c r="BK83" i="3" s="1"/>
  <c r="AH83" i="3"/>
  <c r="G83" i="3"/>
  <c r="DI82" i="3"/>
  <c r="DH82" i="3"/>
  <c r="DG82" i="3"/>
  <c r="DE82" i="3"/>
  <c r="DD82" i="3"/>
  <c r="DC82" i="3"/>
  <c r="DA82" i="3"/>
  <c r="CZ82" i="3"/>
  <c r="CY82" i="3"/>
  <c r="CX82" i="3"/>
  <c r="CW82" i="3"/>
  <c r="CV82" i="3"/>
  <c r="CU82" i="3"/>
  <c r="CT82" i="3"/>
  <c r="CS82" i="3"/>
  <c r="CR82" i="3"/>
  <c r="CQ82" i="3"/>
  <c r="BT82" i="3"/>
  <c r="BR82" i="3"/>
  <c r="BQ82" i="3"/>
  <c r="BN82" i="3"/>
  <c r="BM82" i="3"/>
  <c r="BL82" i="3"/>
  <c r="BJ82" i="3"/>
  <c r="BI82" i="3"/>
  <c r="BH82" i="3"/>
  <c r="BG82" i="3"/>
  <c r="BF82" i="3"/>
  <c r="BE82" i="3"/>
  <c r="BD82" i="3"/>
  <c r="BC82" i="3"/>
  <c r="BB82" i="3"/>
  <c r="BA82" i="3"/>
  <c r="AZ82" i="3"/>
  <c r="AC82" i="3"/>
  <c r="S82" i="3"/>
  <c r="G82" i="3" s="1"/>
  <c r="DI81" i="3"/>
  <c r="DH81" i="3"/>
  <c r="DG81" i="3"/>
  <c r="DE81" i="3"/>
  <c r="DD81" i="3"/>
  <c r="DC81" i="3"/>
  <c r="DB81" i="3"/>
  <c r="DA81" i="3"/>
  <c r="CZ81" i="3"/>
  <c r="CY81" i="3"/>
  <c r="CX81" i="3"/>
  <c r="CW81" i="3"/>
  <c r="CV81" i="3"/>
  <c r="CU81" i="3"/>
  <c r="CS81" i="3"/>
  <c r="CR81" i="3"/>
  <c r="CQ81" i="3"/>
  <c r="BY81" i="3"/>
  <c r="BT81" i="3" s="1"/>
  <c r="BR81" i="3"/>
  <c r="BQ81" i="3"/>
  <c r="BN81" i="3"/>
  <c r="BM81" i="3"/>
  <c r="BL81" i="3"/>
  <c r="BK81" i="3"/>
  <c r="BJ81" i="3"/>
  <c r="BI81" i="3"/>
  <c r="BH81" i="3"/>
  <c r="BG81" i="3"/>
  <c r="BF81" i="3"/>
  <c r="BE81" i="3"/>
  <c r="BD81" i="3"/>
  <c r="BB81" i="3"/>
  <c r="BA81" i="3"/>
  <c r="AZ81" i="3"/>
  <c r="AH81" i="3"/>
  <c r="BC81" i="3" s="1"/>
  <c r="G81" i="3"/>
  <c r="DI80" i="3"/>
  <c r="DH80" i="3"/>
  <c r="DG80" i="3"/>
  <c r="DE80" i="3"/>
  <c r="DD80" i="3"/>
  <c r="DC80" i="3"/>
  <c r="DA80" i="3"/>
  <c r="CZ80" i="3"/>
  <c r="CY80" i="3"/>
  <c r="CX80" i="3"/>
  <c r="CW80" i="3"/>
  <c r="CV80" i="3"/>
  <c r="CU80" i="3"/>
  <c r="CT80" i="3"/>
  <c r="CS80" i="3"/>
  <c r="CR80" i="3"/>
  <c r="CQ80" i="3"/>
  <c r="CG80" i="3"/>
  <c r="BR80" i="3"/>
  <c r="BQ80" i="3"/>
  <c r="BN80" i="3"/>
  <c r="BM80" i="3"/>
  <c r="BL80" i="3"/>
  <c r="BJ80" i="3"/>
  <c r="BI80" i="3"/>
  <c r="BH80" i="3"/>
  <c r="BG80" i="3"/>
  <c r="BF80" i="3"/>
  <c r="BE80" i="3"/>
  <c r="BD80" i="3"/>
  <c r="BB80" i="3"/>
  <c r="BA80" i="3"/>
  <c r="AZ80" i="3"/>
  <c r="AP80" i="3"/>
  <c r="AH80" i="3"/>
  <c r="BC80" i="3" s="1"/>
  <c r="S80" i="3"/>
  <c r="G80" i="3" s="1"/>
  <c r="DI79" i="3"/>
  <c r="DH79" i="3"/>
  <c r="DG79" i="3"/>
  <c r="DE79" i="3"/>
  <c r="DD79" i="3"/>
  <c r="DC79" i="3"/>
  <c r="DB79" i="3"/>
  <c r="DA79" i="3"/>
  <c r="CZ79" i="3"/>
  <c r="CY79" i="3"/>
  <c r="CX79" i="3"/>
  <c r="CW79" i="3"/>
  <c r="CV79" i="3"/>
  <c r="CU79" i="3"/>
  <c r="CT79" i="3"/>
  <c r="CS79" i="3"/>
  <c r="CR79" i="3"/>
  <c r="CQ79" i="3"/>
  <c r="BT79" i="3"/>
  <c r="BR79" i="3"/>
  <c r="BQ79" i="3"/>
  <c r="BN79" i="3"/>
  <c r="BM79" i="3"/>
  <c r="BL79" i="3"/>
  <c r="BK79" i="3"/>
  <c r="BJ79" i="3"/>
  <c r="BI79" i="3"/>
  <c r="BH79" i="3"/>
  <c r="BG79" i="3"/>
  <c r="BF79" i="3"/>
  <c r="BE79" i="3"/>
  <c r="BD79" i="3"/>
  <c r="BB79" i="3"/>
  <c r="BA79" i="3"/>
  <c r="AZ79" i="3"/>
  <c r="AH79" i="3"/>
  <c r="G79" i="3"/>
  <c r="DI78" i="3"/>
  <c r="DH78" i="3"/>
  <c r="DG78" i="3"/>
  <c r="DE78" i="3"/>
  <c r="DD78" i="3"/>
  <c r="DC78" i="3"/>
  <c r="DB78" i="3"/>
  <c r="DA78" i="3"/>
  <c r="CZ78" i="3"/>
  <c r="CY78" i="3"/>
  <c r="CX78" i="3"/>
  <c r="CW78" i="3"/>
  <c r="CV78" i="3"/>
  <c r="CU78" i="3"/>
  <c r="CS78" i="3"/>
  <c r="CR78" i="3"/>
  <c r="CQ78" i="3"/>
  <c r="BY78" i="3"/>
  <c r="CT78" i="3" s="1"/>
  <c r="BR78" i="3"/>
  <c r="BQ78" i="3"/>
  <c r="BN78" i="3"/>
  <c r="BM78" i="3"/>
  <c r="BL78" i="3"/>
  <c r="BK78" i="3"/>
  <c r="BJ78" i="3"/>
  <c r="BI78" i="3"/>
  <c r="BH78" i="3"/>
  <c r="BG78" i="3"/>
  <c r="BF78" i="3"/>
  <c r="BE78" i="3"/>
  <c r="BD78" i="3"/>
  <c r="BB78" i="3"/>
  <c r="BA78" i="3"/>
  <c r="AZ78" i="3"/>
  <c r="AH78" i="3"/>
  <c r="G78" i="3"/>
  <c r="DI77" i="3"/>
  <c r="DE77" i="3"/>
  <c r="DD77" i="3"/>
  <c r="DC77" i="3"/>
  <c r="DB77" i="3"/>
  <c r="DA77" i="3"/>
  <c r="CZ77" i="3"/>
  <c r="CS77" i="3"/>
  <c r="CR77" i="3"/>
  <c r="CQ77" i="3"/>
  <c r="BY77" i="3"/>
  <c r="CT77" i="3" s="1"/>
  <c r="BR77" i="3"/>
  <c r="BQ77" i="3"/>
  <c r="BN77" i="3"/>
  <c r="BM77" i="3"/>
  <c r="BL77" i="3"/>
  <c r="BK77" i="3"/>
  <c r="BJ77" i="3"/>
  <c r="BI77" i="3"/>
  <c r="BB77" i="3"/>
  <c r="BA77" i="3"/>
  <c r="AZ77" i="3"/>
  <c r="AH77" i="3"/>
  <c r="G77" i="3"/>
  <c r="DI76" i="3"/>
  <c r="DE76" i="3"/>
  <c r="DD76" i="3"/>
  <c r="DC76" i="3"/>
  <c r="DB76" i="3"/>
  <c r="DA76" i="3"/>
  <c r="CZ76" i="3"/>
  <c r="CS76" i="3"/>
  <c r="CR76" i="3"/>
  <c r="CQ76" i="3"/>
  <c r="BT76" i="3"/>
  <c r="BR76" i="3"/>
  <c r="BQ76" i="3"/>
  <c r="BN76" i="3"/>
  <c r="BM76" i="3"/>
  <c r="BL76" i="3"/>
  <c r="BK76" i="3"/>
  <c r="BJ76" i="3"/>
  <c r="BI76" i="3"/>
  <c r="BB76" i="3"/>
  <c r="BA76" i="3"/>
  <c r="AZ76" i="3"/>
  <c r="AH76" i="3"/>
  <c r="AC76" i="3" s="1"/>
  <c r="K76" i="3"/>
  <c r="CT76" i="3" s="1"/>
  <c r="G76" i="3"/>
  <c r="DI75" i="3"/>
  <c r="DE75" i="3"/>
  <c r="DD75" i="3"/>
  <c r="DC75" i="3"/>
  <c r="DB75" i="3"/>
  <c r="DA75" i="3"/>
  <c r="CZ75" i="3"/>
  <c r="CT75" i="3"/>
  <c r="CS75" i="3"/>
  <c r="CR75" i="3"/>
  <c r="CQ75" i="3"/>
  <c r="BT75" i="3"/>
  <c r="BR75" i="3"/>
  <c r="BQ75" i="3"/>
  <c r="BN75" i="3"/>
  <c r="BM75" i="3"/>
  <c r="BK75" i="3"/>
  <c r="BJ75" i="3"/>
  <c r="BI75" i="3"/>
  <c r="BC75" i="3"/>
  <c r="BB75" i="3"/>
  <c r="BA75" i="3"/>
  <c r="AZ75" i="3"/>
  <c r="AC75" i="3"/>
  <c r="G75" i="3"/>
  <c r="DI74" i="3"/>
  <c r="DE74" i="3"/>
  <c r="DD74" i="3"/>
  <c r="DC74" i="3"/>
  <c r="DB74" i="3"/>
  <c r="DA74" i="3"/>
  <c r="CZ74" i="3"/>
  <c r="CT74" i="3"/>
  <c r="CS74" i="3"/>
  <c r="CR74" i="3"/>
  <c r="CQ74" i="3"/>
  <c r="BT74" i="3"/>
  <c r="BS74" i="3"/>
  <c r="CO74" i="3" s="1"/>
  <c r="BR74" i="3"/>
  <c r="BQ74" i="3"/>
  <c r="BN74" i="3"/>
  <c r="BM74" i="3"/>
  <c r="BK74" i="3"/>
  <c r="BJ74" i="3"/>
  <c r="BI74" i="3"/>
  <c r="BC74" i="3"/>
  <c r="BB74" i="3"/>
  <c r="BA74" i="3"/>
  <c r="AZ74" i="3"/>
  <c r="AC74" i="3"/>
  <c r="G74" i="3"/>
  <c r="DH73" i="3"/>
  <c r="DG73" i="3"/>
  <c r="DE73" i="3"/>
  <c r="DD73" i="3"/>
  <c r="DC73" i="3"/>
  <c r="DB73" i="3"/>
  <c r="DA73" i="3"/>
  <c r="CZ73" i="3"/>
  <c r="CY73" i="3"/>
  <c r="CX73" i="3"/>
  <c r="CW73" i="3"/>
  <c r="CV73" i="3"/>
  <c r="CU73" i="3"/>
  <c r="CT73" i="3"/>
  <c r="CS73" i="3"/>
  <c r="CR73" i="3"/>
  <c r="CQ73" i="3"/>
  <c r="CN73" i="3"/>
  <c r="BT73" i="3" s="1"/>
  <c r="BQ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W73" i="3"/>
  <c r="AC73" i="3" s="1"/>
  <c r="Z73" i="3"/>
  <c r="G73" i="3"/>
  <c r="DI72" i="3"/>
  <c r="DH72" i="3"/>
  <c r="DG72" i="3"/>
  <c r="DE72" i="3"/>
  <c r="DD72" i="3"/>
  <c r="DC72" i="3"/>
  <c r="DB72" i="3"/>
  <c r="DA72" i="3"/>
  <c r="CZ72" i="3"/>
  <c r="CY72" i="3"/>
  <c r="CX72" i="3"/>
  <c r="CW72" i="3"/>
  <c r="CV72" i="3"/>
  <c r="CU72" i="3"/>
  <c r="CS72" i="3"/>
  <c r="CR72" i="3"/>
  <c r="CQ72" i="3"/>
  <c r="BY72" i="3"/>
  <c r="BT72" i="3" s="1"/>
  <c r="BR72" i="3"/>
  <c r="BQ72" i="3"/>
  <c r="BN72" i="3"/>
  <c r="BM72" i="3"/>
  <c r="BL72" i="3"/>
  <c r="BK72" i="3"/>
  <c r="BJ72" i="3"/>
  <c r="BI72" i="3"/>
  <c r="BH72" i="3"/>
  <c r="BG72" i="3"/>
  <c r="BF72" i="3"/>
  <c r="BE72" i="3"/>
  <c r="BD72" i="3"/>
  <c r="BB72" i="3"/>
  <c r="BA72" i="3"/>
  <c r="AZ72" i="3"/>
  <c r="AH72" i="3"/>
  <c r="G72" i="3"/>
  <c r="DI71" i="3"/>
  <c r="DH71" i="3"/>
  <c r="DG71" i="3"/>
  <c r="DE71" i="3"/>
  <c r="DD71" i="3"/>
  <c r="DC71" i="3"/>
  <c r="DB71" i="3"/>
  <c r="DA71" i="3"/>
  <c r="CZ71" i="3"/>
  <c r="CY71" i="3"/>
  <c r="CX71" i="3"/>
  <c r="CW71" i="3"/>
  <c r="CV71" i="3"/>
  <c r="CU71" i="3"/>
  <c r="CS71" i="3"/>
  <c r="CR71" i="3"/>
  <c r="CQ71" i="3"/>
  <c r="BT71" i="3"/>
  <c r="BR71" i="3"/>
  <c r="BQ71" i="3"/>
  <c r="BN71" i="3"/>
  <c r="BM71" i="3"/>
  <c r="BL71" i="3"/>
  <c r="BK71" i="3"/>
  <c r="BJ71" i="3"/>
  <c r="BI71" i="3"/>
  <c r="BH71" i="3"/>
  <c r="BG71" i="3"/>
  <c r="BF71" i="3"/>
  <c r="BE71" i="3"/>
  <c r="BD71" i="3"/>
  <c r="BB71" i="3"/>
  <c r="BA71" i="3"/>
  <c r="AZ71" i="3"/>
  <c r="AC71" i="3"/>
  <c r="K71" i="3"/>
  <c r="DI70" i="3"/>
  <c r="DH70" i="3"/>
  <c r="DG70" i="3"/>
  <c r="DE70" i="3"/>
  <c r="DD70" i="3"/>
  <c r="DC70" i="3"/>
  <c r="DB70" i="3"/>
  <c r="DA70" i="3"/>
  <c r="CZ70" i="3"/>
  <c r="CY70" i="3"/>
  <c r="CX70" i="3"/>
  <c r="CW70" i="3"/>
  <c r="CV70" i="3"/>
  <c r="CU70" i="3"/>
  <c r="CS70" i="3"/>
  <c r="CR70" i="3"/>
  <c r="CQ70" i="3"/>
  <c r="BY70" i="3"/>
  <c r="CT70" i="3" s="1"/>
  <c r="BR70" i="3"/>
  <c r="BQ70" i="3"/>
  <c r="BP70" i="3"/>
  <c r="BN70" i="3"/>
  <c r="BM70" i="3"/>
  <c r="BL70" i="3"/>
  <c r="BK70" i="3"/>
  <c r="BJ70" i="3"/>
  <c r="BI70" i="3"/>
  <c r="BH70" i="3"/>
  <c r="BG70" i="3"/>
  <c r="BF70" i="3"/>
  <c r="BE70" i="3"/>
  <c r="BD70" i="3"/>
  <c r="BB70" i="3"/>
  <c r="BA70" i="3"/>
  <c r="AZ70" i="3"/>
  <c r="AH70" i="3"/>
  <c r="AC70" i="3" s="1"/>
  <c r="G70" i="3"/>
  <c r="DI69" i="3"/>
  <c r="DH69" i="3"/>
  <c r="DG69" i="3"/>
  <c r="DE69" i="3"/>
  <c r="DD69" i="3"/>
  <c r="DC69" i="3"/>
  <c r="DB69" i="3"/>
  <c r="DA69" i="3"/>
  <c r="CZ69" i="3"/>
  <c r="CY69" i="3"/>
  <c r="CX69" i="3"/>
  <c r="CW69" i="3"/>
  <c r="CV69" i="3"/>
  <c r="CU69" i="3"/>
  <c r="CT69" i="3"/>
  <c r="CS69" i="3"/>
  <c r="CR69" i="3"/>
  <c r="CQ69" i="3"/>
  <c r="BT69" i="3"/>
  <c r="BR69" i="3"/>
  <c r="BQ69" i="3"/>
  <c r="BP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C69" i="3"/>
  <c r="G69" i="3"/>
  <c r="BS69" i="3" s="1"/>
  <c r="CO69" i="3" s="1"/>
  <c r="DH68" i="3"/>
  <c r="DG68" i="3"/>
  <c r="DE68" i="3"/>
  <c r="DD68" i="3"/>
  <c r="DC68" i="3"/>
  <c r="DB68" i="3"/>
  <c r="DA68" i="3"/>
  <c r="CZ68" i="3"/>
  <c r="CY68" i="3"/>
  <c r="CX68" i="3"/>
  <c r="CW68" i="3"/>
  <c r="CV68" i="3"/>
  <c r="CU68" i="3"/>
  <c r="CT68" i="3"/>
  <c r="CS68" i="3"/>
  <c r="CR68" i="3"/>
  <c r="CQ68" i="3"/>
  <c r="CN68" i="3"/>
  <c r="BT68" i="3" s="1"/>
  <c r="BQ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W68" i="3"/>
  <c r="AC68" i="3" s="1"/>
  <c r="Z68" i="3"/>
  <c r="DH67" i="3"/>
  <c r="DG67" i="3"/>
  <c r="DE67" i="3"/>
  <c r="DD67" i="3"/>
  <c r="DC67" i="3"/>
  <c r="DB67" i="3"/>
  <c r="DA67" i="3"/>
  <c r="CZ67" i="3"/>
  <c r="CY67" i="3"/>
  <c r="CX67" i="3"/>
  <c r="CW67" i="3"/>
  <c r="CV67" i="3"/>
  <c r="CU67" i="3"/>
  <c r="CT67" i="3"/>
  <c r="CS67" i="3"/>
  <c r="CR67" i="3"/>
  <c r="CQ67" i="3"/>
  <c r="BT67" i="3"/>
  <c r="BQ67" i="3"/>
  <c r="BP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C67" i="3"/>
  <c r="Z67" i="3"/>
  <c r="DI67" i="3" s="1"/>
  <c r="G67" i="3"/>
  <c r="DH66" i="3"/>
  <c r="DG66" i="3"/>
  <c r="DE66" i="3"/>
  <c r="DD66" i="3"/>
  <c r="DC66" i="3"/>
  <c r="DB66" i="3"/>
  <c r="DA66" i="3"/>
  <c r="CZ66" i="3"/>
  <c r="CY66" i="3"/>
  <c r="CX66" i="3"/>
  <c r="CW66" i="3"/>
  <c r="CV66" i="3"/>
  <c r="CU66" i="3"/>
  <c r="CT66" i="3"/>
  <c r="CS66" i="3"/>
  <c r="CR66" i="3"/>
  <c r="CQ66" i="3"/>
  <c r="CN66" i="3"/>
  <c r="DI66" i="3" s="1"/>
  <c r="BQ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W66" i="3"/>
  <c r="BR66" i="3" s="1"/>
  <c r="G66" i="3"/>
  <c r="DH65" i="3"/>
  <c r="DG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Q65" i="3"/>
  <c r="CN65" i="3"/>
  <c r="BT65" i="3" s="1"/>
  <c r="BQ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W65" i="3"/>
  <c r="AC65" i="3" s="1"/>
  <c r="Z65" i="3"/>
  <c r="DI64" i="3"/>
  <c r="DH64" i="3"/>
  <c r="DG64" i="3"/>
  <c r="DE64" i="3"/>
  <c r="DD64" i="3"/>
  <c r="DC64" i="3"/>
  <c r="DB64" i="3"/>
  <c r="CZ64" i="3"/>
  <c r="CY64" i="3"/>
  <c r="CX64" i="3"/>
  <c r="CW64" i="3"/>
  <c r="CV64" i="3"/>
  <c r="CU64" i="3"/>
  <c r="CS64" i="3"/>
  <c r="CR64" i="3"/>
  <c r="CQ64" i="3"/>
  <c r="CF64" i="3"/>
  <c r="CF137" i="3" s="1"/>
  <c r="BR64" i="3"/>
  <c r="BQ64" i="3"/>
  <c r="BN64" i="3"/>
  <c r="BM64" i="3"/>
  <c r="BL64" i="3"/>
  <c r="BK64" i="3"/>
  <c r="BI64" i="3"/>
  <c r="BH64" i="3"/>
  <c r="BG64" i="3"/>
  <c r="BF64" i="3"/>
  <c r="BE64" i="3"/>
  <c r="BD64" i="3"/>
  <c r="BB64" i="3"/>
  <c r="BA64" i="3"/>
  <c r="AZ64" i="3"/>
  <c r="AO64" i="3"/>
  <c r="AH64" i="3"/>
  <c r="R64" i="3"/>
  <c r="K64" i="3"/>
  <c r="DI63" i="3"/>
  <c r="DH63" i="3"/>
  <c r="DG63" i="3"/>
  <c r="DE63" i="3"/>
  <c r="DD63" i="3"/>
  <c r="DC63" i="3"/>
  <c r="DA63" i="3"/>
  <c r="CZ63" i="3"/>
  <c r="CY63" i="3"/>
  <c r="CX63" i="3"/>
  <c r="CW63" i="3"/>
  <c r="CV63" i="3"/>
  <c r="CU63" i="3"/>
  <c r="CS63" i="3"/>
  <c r="CR63" i="3"/>
  <c r="CQ63" i="3"/>
  <c r="BY63" i="3"/>
  <c r="BR63" i="3"/>
  <c r="BQ63" i="3"/>
  <c r="BN63" i="3"/>
  <c r="BM63" i="3"/>
  <c r="BL63" i="3"/>
  <c r="BJ63" i="3"/>
  <c r="BI63" i="3"/>
  <c r="BH63" i="3"/>
  <c r="BG63" i="3"/>
  <c r="BF63" i="3"/>
  <c r="BE63" i="3"/>
  <c r="BD63" i="3"/>
  <c r="BB63" i="3"/>
  <c r="BA63" i="3"/>
  <c r="AZ63" i="3"/>
  <c r="AH63" i="3"/>
  <c r="AC63" i="3" s="1"/>
  <c r="S63" i="3"/>
  <c r="K63" i="3"/>
  <c r="DI62" i="3"/>
  <c r="DH62" i="3"/>
  <c r="DG62" i="3"/>
  <c r="DE62" i="3"/>
  <c r="DD62" i="3"/>
  <c r="DC62" i="3"/>
  <c r="DA62" i="3"/>
  <c r="CZ62" i="3"/>
  <c r="CY62" i="3"/>
  <c r="CX62" i="3"/>
  <c r="CW62" i="3"/>
  <c r="CV62" i="3"/>
  <c r="CU62" i="3"/>
  <c r="CT62" i="3"/>
  <c r="CS62" i="3"/>
  <c r="CR62" i="3"/>
  <c r="CQ62" i="3"/>
  <c r="CG62" i="3"/>
  <c r="BT62" i="3" s="1"/>
  <c r="BR62" i="3"/>
  <c r="BQ62" i="3"/>
  <c r="BP62" i="3"/>
  <c r="BN62" i="3"/>
  <c r="BM62" i="3"/>
  <c r="BL62" i="3"/>
  <c r="BJ62" i="3"/>
  <c r="BI62" i="3"/>
  <c r="BH62" i="3"/>
  <c r="BG62" i="3"/>
  <c r="BF62" i="3"/>
  <c r="BE62" i="3"/>
  <c r="BD62" i="3"/>
  <c r="BC62" i="3"/>
  <c r="BB62" i="3"/>
  <c r="BA62" i="3"/>
  <c r="AZ62" i="3"/>
  <c r="AP62" i="3"/>
  <c r="G62" i="3"/>
  <c r="DH61" i="3"/>
  <c r="DG61" i="3"/>
  <c r="DE61" i="3"/>
  <c r="DD61" i="3"/>
  <c r="DC61" i="3"/>
  <c r="DB61" i="3"/>
  <c r="DA61" i="3"/>
  <c r="CZ61" i="3"/>
  <c r="CY61" i="3"/>
  <c r="CX61" i="3"/>
  <c r="CW61" i="3"/>
  <c r="CV61" i="3"/>
  <c r="CU61" i="3"/>
  <c r="CT61" i="3"/>
  <c r="CS61" i="3"/>
  <c r="CR61" i="3"/>
  <c r="CQ61" i="3"/>
  <c r="CN61" i="3"/>
  <c r="BQ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Z61" i="3"/>
  <c r="AW61" i="3"/>
  <c r="BR61" i="3" s="1"/>
  <c r="G61" i="3"/>
  <c r="DH60" i="3"/>
  <c r="DG60" i="3"/>
  <c r="DE60" i="3"/>
  <c r="DD60" i="3"/>
  <c r="DC60" i="3"/>
  <c r="DB60" i="3"/>
  <c r="DA60" i="3"/>
  <c r="CZ60" i="3"/>
  <c r="CY60" i="3"/>
  <c r="CX60" i="3"/>
  <c r="CW60" i="3"/>
  <c r="CV60" i="3"/>
  <c r="CU60" i="3"/>
  <c r="CT60" i="3"/>
  <c r="CS60" i="3"/>
  <c r="CR60" i="3"/>
  <c r="CQ60" i="3"/>
  <c r="CN60" i="3"/>
  <c r="BT60" i="3" s="1"/>
  <c r="BQ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W60" i="3"/>
  <c r="AC60" i="3" s="1"/>
  <c r="Z60" i="3"/>
  <c r="DH59" i="3"/>
  <c r="DG59" i="3"/>
  <c r="DE59" i="3"/>
  <c r="DD59" i="3"/>
  <c r="DC59" i="3"/>
  <c r="DB59" i="3"/>
  <c r="DA59" i="3"/>
  <c r="CZ59" i="3"/>
  <c r="CY59" i="3"/>
  <c r="CX59" i="3"/>
  <c r="CW59" i="3"/>
  <c r="CV59" i="3"/>
  <c r="CT59" i="3"/>
  <c r="CS59" i="3"/>
  <c r="CR59" i="3"/>
  <c r="CQ59" i="3"/>
  <c r="CN59" i="3"/>
  <c r="BZ59" i="3"/>
  <c r="BZ137" i="3" s="1"/>
  <c r="BQ59" i="3"/>
  <c r="BN59" i="3"/>
  <c r="BM59" i="3"/>
  <c r="BL59" i="3"/>
  <c r="BK59" i="3"/>
  <c r="BJ59" i="3"/>
  <c r="BI59" i="3"/>
  <c r="BH59" i="3"/>
  <c r="BG59" i="3"/>
  <c r="BF59" i="3"/>
  <c r="BE59" i="3"/>
  <c r="BC59" i="3"/>
  <c r="BB59" i="3"/>
  <c r="BA59" i="3"/>
  <c r="AZ59" i="3"/>
  <c r="AW59" i="3"/>
  <c r="AI59" i="3"/>
  <c r="Z59" i="3"/>
  <c r="L59" i="3"/>
  <c r="CL58" i="3"/>
  <c r="CK58" i="3"/>
  <c r="CK130" i="3" s="1"/>
  <c r="CJ58" i="3"/>
  <c r="CH58" i="3"/>
  <c r="CE58" i="3"/>
  <c r="CD58" i="3"/>
  <c r="CC58" i="3"/>
  <c r="CB58" i="3"/>
  <c r="CA58" i="3"/>
  <c r="BZ58" i="3"/>
  <c r="BY58" i="3"/>
  <c r="BX58" i="3"/>
  <c r="BV58" i="3"/>
  <c r="BU58" i="3"/>
  <c r="AU58" i="3"/>
  <c r="AS58" i="3"/>
  <c r="AQ58" i="3"/>
  <c r="AN58" i="3"/>
  <c r="AM58" i="3"/>
  <c r="AL58" i="3"/>
  <c r="AK58" i="3"/>
  <c r="AJ58" i="3"/>
  <c r="AH58" i="3"/>
  <c r="AG58" i="3"/>
  <c r="AE58" i="3"/>
  <c r="X58" i="3"/>
  <c r="W58" i="3"/>
  <c r="V58" i="3"/>
  <c r="T58" i="3"/>
  <c r="S58" i="3"/>
  <c r="Q58" i="3"/>
  <c r="P58" i="3"/>
  <c r="O58" i="3"/>
  <c r="N58" i="3"/>
  <c r="M58" i="3"/>
  <c r="K58" i="3"/>
  <c r="J58" i="3"/>
  <c r="H58" i="3"/>
  <c r="DH57" i="3"/>
  <c r="DG57" i="3"/>
  <c r="DE57" i="3"/>
  <c r="DD57" i="3"/>
  <c r="DC57" i="3"/>
  <c r="DB57" i="3"/>
  <c r="DA57" i="3"/>
  <c r="CZ57" i="3"/>
  <c r="CY57" i="3"/>
  <c r="CX57" i="3"/>
  <c r="CW57" i="3"/>
  <c r="CV57" i="3"/>
  <c r="CU57" i="3"/>
  <c r="CT57" i="3"/>
  <c r="CS57" i="3"/>
  <c r="CR57" i="3"/>
  <c r="CQ57" i="3"/>
  <c r="CN57" i="3"/>
  <c r="BT57" i="3"/>
  <c r="BQ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W57" i="3"/>
  <c r="Z57" i="3"/>
  <c r="G57" i="3"/>
  <c r="DI56" i="3"/>
  <c r="DH56" i="3"/>
  <c r="DG56" i="3"/>
  <c r="DE56" i="3"/>
  <c r="DC56" i="3"/>
  <c r="DB56" i="3"/>
  <c r="DA56" i="3"/>
  <c r="CZ56" i="3"/>
  <c r="CY56" i="3"/>
  <c r="CX56" i="3"/>
  <c r="CW56" i="3"/>
  <c r="CV56" i="3"/>
  <c r="CT56" i="3"/>
  <c r="CS56" i="3"/>
  <c r="CR56" i="3"/>
  <c r="CQ56" i="3"/>
  <c r="CI56" i="3"/>
  <c r="DD56" i="3" s="1"/>
  <c r="BR56" i="3"/>
  <c r="BQ56" i="3"/>
  <c r="BN56" i="3"/>
  <c r="BL56" i="3"/>
  <c r="BK56" i="3"/>
  <c r="BJ56" i="3"/>
  <c r="BI56" i="3"/>
  <c r="BH56" i="3"/>
  <c r="BG56" i="3"/>
  <c r="BF56" i="3"/>
  <c r="BE56" i="3"/>
  <c r="BC56" i="3"/>
  <c r="BB56" i="3"/>
  <c r="BA56" i="3"/>
  <c r="AZ56" i="3"/>
  <c r="AR56" i="3"/>
  <c r="AI56" i="3"/>
  <c r="AI135" i="3" s="1"/>
  <c r="L56" i="3"/>
  <c r="DI55" i="3"/>
  <c r="DH55" i="3"/>
  <c r="DG55" i="3"/>
  <c r="DE55" i="3"/>
  <c r="DD55" i="3"/>
  <c r="DC55" i="3"/>
  <c r="DB55" i="3"/>
  <c r="DA55" i="3"/>
  <c r="CZ55" i="3"/>
  <c r="CY55" i="3"/>
  <c r="CX55" i="3"/>
  <c r="CW55" i="3"/>
  <c r="CV55" i="3"/>
  <c r="CU55" i="3"/>
  <c r="CT55" i="3"/>
  <c r="CS55" i="3"/>
  <c r="CR55" i="3"/>
  <c r="CQ55" i="3"/>
  <c r="BT55" i="3"/>
  <c r="BR55" i="3"/>
  <c r="BQ55" i="3"/>
  <c r="BN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R55" i="3"/>
  <c r="BM55" i="3" s="1"/>
  <c r="G55" i="3"/>
  <c r="DI54" i="3"/>
  <c r="DH54" i="3"/>
  <c r="DG54" i="3"/>
  <c r="DE54" i="3"/>
  <c r="DC54" i="3"/>
  <c r="DB54" i="3"/>
  <c r="DA54" i="3"/>
  <c r="CZ54" i="3"/>
  <c r="CY54" i="3"/>
  <c r="CX54" i="3"/>
  <c r="CW54" i="3"/>
  <c r="CV54" i="3"/>
  <c r="CU54" i="3"/>
  <c r="CT54" i="3"/>
  <c r="CS54" i="3"/>
  <c r="CQ54" i="3"/>
  <c r="CI54" i="3"/>
  <c r="BW54" i="3"/>
  <c r="BR54" i="3"/>
  <c r="BQ54" i="3"/>
  <c r="BN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AZ54" i="3"/>
  <c r="AF54" i="3"/>
  <c r="AC54" i="3" s="1"/>
  <c r="I54" i="3"/>
  <c r="DI53" i="3"/>
  <c r="DH53" i="3"/>
  <c r="DG53" i="3"/>
  <c r="DE53" i="3"/>
  <c r="DC53" i="3"/>
  <c r="DB53" i="3"/>
  <c r="DA53" i="3"/>
  <c r="CZ53" i="3"/>
  <c r="CY53" i="3"/>
  <c r="CX53" i="3"/>
  <c r="CW53" i="3"/>
  <c r="CV53" i="3"/>
  <c r="CU53" i="3"/>
  <c r="CT53" i="3"/>
  <c r="CS53" i="3"/>
  <c r="CR53" i="3"/>
  <c r="CQ53" i="3"/>
  <c r="CI53" i="3"/>
  <c r="BR53" i="3"/>
  <c r="BQ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Z53" i="3"/>
  <c r="AC53" i="3"/>
  <c r="G53" i="3"/>
  <c r="DH52" i="3"/>
  <c r="DG52" i="3"/>
  <c r="DE52" i="3"/>
  <c r="DD52" i="3"/>
  <c r="DC52" i="3"/>
  <c r="DB52" i="3"/>
  <c r="DA52" i="3"/>
  <c r="CZ52" i="3"/>
  <c r="CY52" i="3"/>
  <c r="CX52" i="3"/>
  <c r="CW52" i="3"/>
  <c r="CV52" i="3"/>
  <c r="CU52" i="3"/>
  <c r="CT52" i="3"/>
  <c r="CS52" i="3"/>
  <c r="CQ52" i="3"/>
  <c r="BW52" i="3"/>
  <c r="CR52" i="3" s="1"/>
  <c r="BQ52" i="3"/>
  <c r="BN52" i="3"/>
  <c r="BM52" i="3"/>
  <c r="BL52" i="3"/>
  <c r="BK52" i="3"/>
  <c r="BJ52" i="3"/>
  <c r="BI52" i="3"/>
  <c r="BH52" i="3"/>
  <c r="BG52" i="3"/>
  <c r="BF52" i="3"/>
  <c r="BE52" i="3"/>
  <c r="BD52" i="3"/>
  <c r="BC52" i="3"/>
  <c r="BB52" i="3"/>
  <c r="BA52" i="3"/>
  <c r="AZ52" i="3"/>
  <c r="AW52" i="3"/>
  <c r="AC52" i="3" s="1"/>
  <c r="Z52" i="3"/>
  <c r="G52" i="3"/>
  <c r="DH51" i="3"/>
  <c r="DG51" i="3"/>
  <c r="DE51" i="3"/>
  <c r="DD51" i="3"/>
  <c r="DC51" i="3"/>
  <c r="DB51" i="3"/>
  <c r="DA51" i="3"/>
  <c r="CZ51" i="3"/>
  <c r="CY51" i="3"/>
  <c r="CX51" i="3"/>
  <c r="CW51" i="3"/>
  <c r="CV51" i="3"/>
  <c r="CU51" i="3"/>
  <c r="CT51" i="3"/>
  <c r="CS51" i="3"/>
  <c r="CR51" i="3"/>
  <c r="CQ51" i="3"/>
  <c r="CN51" i="3"/>
  <c r="BT51" i="3" s="1"/>
  <c r="BQ51" i="3"/>
  <c r="BN51" i="3"/>
  <c r="BM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W51" i="3"/>
  <c r="BR51" i="3" s="1"/>
  <c r="G51" i="3"/>
  <c r="DI50" i="3"/>
  <c r="DH50" i="3"/>
  <c r="DG50" i="3"/>
  <c r="DE50" i="3"/>
  <c r="DC50" i="3"/>
  <c r="DB50" i="3"/>
  <c r="DA50" i="3"/>
  <c r="CZ50" i="3"/>
  <c r="CY50" i="3"/>
  <c r="CX50" i="3"/>
  <c r="CW50" i="3"/>
  <c r="CV50" i="3"/>
  <c r="CU50" i="3"/>
  <c r="CT50" i="3"/>
  <c r="CS50" i="3"/>
  <c r="CQ50" i="3"/>
  <c r="CI50" i="3"/>
  <c r="BT50" i="3" s="1"/>
  <c r="BR50" i="3"/>
  <c r="BQ50" i="3"/>
  <c r="BN50" i="3"/>
  <c r="BL50" i="3"/>
  <c r="BK50" i="3"/>
  <c r="BJ50" i="3"/>
  <c r="BI50" i="3"/>
  <c r="BH50" i="3"/>
  <c r="BG50" i="3"/>
  <c r="BF50" i="3"/>
  <c r="BE50" i="3"/>
  <c r="BD50" i="3"/>
  <c r="BC50" i="3"/>
  <c r="BB50" i="3"/>
  <c r="AZ50" i="3"/>
  <c r="AR50" i="3"/>
  <c r="AF50" i="3"/>
  <c r="AC50" i="3" s="1"/>
  <c r="U50" i="3"/>
  <c r="I50" i="3"/>
  <c r="DI49" i="3"/>
  <c r="DH49" i="3"/>
  <c r="DG49" i="3"/>
  <c r="DE49" i="3"/>
  <c r="DD49" i="3"/>
  <c r="DC49" i="3"/>
  <c r="DB49" i="3"/>
  <c r="DA49" i="3"/>
  <c r="CZ49" i="3"/>
  <c r="CY49" i="3"/>
  <c r="CX49" i="3"/>
  <c r="CW49" i="3"/>
  <c r="CV49" i="3"/>
  <c r="CU49" i="3"/>
  <c r="CT49" i="3"/>
  <c r="CS49" i="3"/>
  <c r="CQ49" i="3"/>
  <c r="BW49" i="3"/>
  <c r="CR49" i="3" s="1"/>
  <c r="BR49" i="3"/>
  <c r="BQ49" i="3"/>
  <c r="BN49" i="3"/>
  <c r="BM49" i="3"/>
  <c r="BK49" i="3"/>
  <c r="BJ49" i="3"/>
  <c r="BI49" i="3"/>
  <c r="BH49" i="3"/>
  <c r="BG49" i="3"/>
  <c r="BF49" i="3"/>
  <c r="BE49" i="3"/>
  <c r="BD49" i="3"/>
  <c r="BC49" i="3"/>
  <c r="BB49" i="3"/>
  <c r="AZ49" i="3"/>
  <c r="AF49" i="3"/>
  <c r="BA49" i="3" s="1"/>
  <c r="AC49" i="3"/>
  <c r="AB49" i="3" s="1"/>
  <c r="AX49" i="3" s="1"/>
  <c r="G49" i="3"/>
  <c r="DI48" i="3"/>
  <c r="DG48" i="3"/>
  <c r="DE48" i="3"/>
  <c r="DD48" i="3"/>
  <c r="DC48" i="3"/>
  <c r="DB48" i="3"/>
  <c r="DA48" i="3"/>
  <c r="CZ48" i="3"/>
  <c r="CY48" i="3"/>
  <c r="CX48" i="3"/>
  <c r="CW48" i="3"/>
  <c r="CV48" i="3"/>
  <c r="CU48" i="3"/>
  <c r="CT48" i="3"/>
  <c r="CS48" i="3"/>
  <c r="CQ48" i="3"/>
  <c r="CM48" i="3"/>
  <c r="DH48" i="3" s="1"/>
  <c r="BW48" i="3"/>
  <c r="CR48" i="3" s="1"/>
  <c r="BR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AZ48" i="3"/>
  <c r="AV48" i="3"/>
  <c r="BQ48" i="3" s="1"/>
  <c r="AF48" i="3"/>
  <c r="G48" i="3"/>
  <c r="DH47" i="3"/>
  <c r="DG47" i="3"/>
  <c r="DE47" i="3"/>
  <c r="DC47" i="3"/>
  <c r="DB47" i="3"/>
  <c r="DA47" i="3"/>
  <c r="CZ47" i="3"/>
  <c r="CY47" i="3"/>
  <c r="CX47" i="3"/>
  <c r="CW47" i="3"/>
  <c r="CV47" i="3"/>
  <c r="CU47" i="3"/>
  <c r="CT47" i="3"/>
  <c r="CS47" i="3"/>
  <c r="CR47" i="3"/>
  <c r="CQ47" i="3"/>
  <c r="CI47" i="3"/>
  <c r="BT47" i="3" s="1"/>
  <c r="BQ47" i="3"/>
  <c r="BN47" i="3"/>
  <c r="BM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R47" i="3"/>
  <c r="AC47" i="3" s="1"/>
  <c r="Z47" i="3"/>
  <c r="DI47" i="3" s="1"/>
  <c r="DI46" i="3"/>
  <c r="DH46" i="3"/>
  <c r="DG46" i="3"/>
  <c r="DE46" i="3"/>
  <c r="DD46" i="3"/>
  <c r="DC46" i="3"/>
  <c r="DB46" i="3"/>
  <c r="DA46" i="3"/>
  <c r="CZ46" i="3"/>
  <c r="CY46" i="3"/>
  <c r="CX46" i="3"/>
  <c r="CW46" i="3"/>
  <c r="CV46" i="3"/>
  <c r="CU46" i="3"/>
  <c r="CT46" i="3"/>
  <c r="CS46" i="3"/>
  <c r="CR46" i="3"/>
  <c r="CQ46" i="3"/>
  <c r="BT46" i="3"/>
  <c r="BR46" i="3"/>
  <c r="BQ46" i="3"/>
  <c r="BN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R46" i="3"/>
  <c r="G46" i="3"/>
  <c r="BS46" i="3" s="1"/>
  <c r="CO46" i="3" s="1"/>
  <c r="DI45" i="3"/>
  <c r="DH45" i="3"/>
  <c r="DG45" i="3"/>
  <c r="DE45" i="3"/>
  <c r="DC45" i="3"/>
  <c r="DB45" i="3"/>
  <c r="DA45" i="3"/>
  <c r="CZ45" i="3"/>
  <c r="CY45" i="3"/>
  <c r="CX45" i="3"/>
  <c r="CW45" i="3"/>
  <c r="CV45" i="3"/>
  <c r="CU45" i="3"/>
  <c r="CT45" i="3"/>
  <c r="CS45" i="3"/>
  <c r="CR45" i="3"/>
  <c r="CQ45" i="3"/>
  <c r="CI45" i="3"/>
  <c r="BT45" i="3" s="1"/>
  <c r="BS45" i="3" s="1"/>
  <c r="CO45" i="3" s="1"/>
  <c r="BR45" i="3"/>
  <c r="BQ45" i="3"/>
  <c r="BN45" i="3"/>
  <c r="BL45" i="3"/>
  <c r="BK45" i="3"/>
  <c r="BJ45" i="3"/>
  <c r="BI45" i="3"/>
  <c r="BH45" i="3"/>
  <c r="BG45" i="3"/>
  <c r="BF45" i="3"/>
  <c r="BE45" i="3"/>
  <c r="BD45" i="3"/>
  <c r="BC45" i="3"/>
  <c r="BB45" i="3"/>
  <c r="BA45" i="3"/>
  <c r="AZ45" i="3"/>
  <c r="AR45" i="3"/>
  <c r="AC45" i="3" s="1"/>
  <c r="AB45" i="3" s="1"/>
  <c r="AX45" i="3" s="1"/>
  <c r="G45" i="3"/>
  <c r="DI44" i="3"/>
  <c r="DH44" i="3"/>
  <c r="DG44" i="3"/>
  <c r="DE44" i="3"/>
  <c r="DC44" i="3"/>
  <c r="DB44" i="3"/>
  <c r="DA44" i="3"/>
  <c r="CZ44" i="3"/>
  <c r="CY44" i="3"/>
  <c r="CX44" i="3"/>
  <c r="CW44" i="3"/>
  <c r="CV44" i="3"/>
  <c r="CU44" i="3"/>
  <c r="CT44" i="3"/>
  <c r="CS44" i="3"/>
  <c r="CR44" i="3"/>
  <c r="CQ44" i="3"/>
  <c r="CI44" i="3"/>
  <c r="DD44" i="3" s="1"/>
  <c r="BR44" i="3"/>
  <c r="BQ44" i="3"/>
  <c r="BP44" i="3"/>
  <c r="BN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R44" i="3"/>
  <c r="AC44" i="3" s="1"/>
  <c r="G44" i="3"/>
  <c r="DI43" i="3"/>
  <c r="DH43" i="3"/>
  <c r="DG43" i="3"/>
  <c r="DE43" i="3"/>
  <c r="DC43" i="3"/>
  <c r="DB43" i="3"/>
  <c r="DA43" i="3"/>
  <c r="CZ43" i="3"/>
  <c r="CY43" i="3"/>
  <c r="CX43" i="3"/>
  <c r="CW43" i="3"/>
  <c r="CV43" i="3"/>
  <c r="CU43" i="3"/>
  <c r="CT43" i="3"/>
  <c r="CS43" i="3"/>
  <c r="CR43" i="3"/>
  <c r="CQ43" i="3"/>
  <c r="CI43" i="3"/>
  <c r="BT43" i="3" s="1"/>
  <c r="BR43" i="3"/>
  <c r="BQ43" i="3"/>
  <c r="BN43" i="3"/>
  <c r="BK43" i="3"/>
  <c r="BJ43" i="3"/>
  <c r="BI43" i="3"/>
  <c r="BH43" i="3"/>
  <c r="BG43" i="3"/>
  <c r="BF43" i="3"/>
  <c r="BE43" i="3"/>
  <c r="BD43" i="3"/>
  <c r="BC43" i="3"/>
  <c r="BB43" i="3"/>
  <c r="BA43" i="3"/>
  <c r="AZ43" i="3"/>
  <c r="AR43" i="3"/>
  <c r="U43" i="3"/>
  <c r="G43" i="3" s="1"/>
  <c r="DI42" i="3"/>
  <c r="DH42" i="3"/>
  <c r="DG42" i="3"/>
  <c r="DE42" i="3"/>
  <c r="DC42" i="3"/>
  <c r="DB42" i="3"/>
  <c r="DA42" i="3"/>
  <c r="CZ42" i="3"/>
  <c r="CY42" i="3"/>
  <c r="CX42" i="3"/>
  <c r="CW42" i="3"/>
  <c r="CV42" i="3"/>
  <c r="CU42" i="3"/>
  <c r="CT42" i="3"/>
  <c r="CS42" i="3"/>
  <c r="CR42" i="3"/>
  <c r="CQ42" i="3"/>
  <c r="CI42" i="3"/>
  <c r="BT42" i="3" s="1"/>
  <c r="BR42" i="3"/>
  <c r="BQ42" i="3"/>
  <c r="BP42" i="3"/>
  <c r="BN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R42" i="3"/>
  <c r="AC42" i="3" s="1"/>
  <c r="U42" i="3"/>
  <c r="DI41" i="3"/>
  <c r="DH41" i="3"/>
  <c r="DG41" i="3"/>
  <c r="DE41" i="3"/>
  <c r="DD41" i="3"/>
  <c r="DC41" i="3"/>
  <c r="DB41" i="3"/>
  <c r="CZ41" i="3"/>
  <c r="CY41" i="3"/>
  <c r="CX41" i="3"/>
  <c r="CW41" i="3"/>
  <c r="CV41" i="3"/>
  <c r="CU41" i="3"/>
  <c r="CT41" i="3"/>
  <c r="CS41" i="3"/>
  <c r="CR41" i="3"/>
  <c r="CQ41" i="3"/>
  <c r="CF41" i="3"/>
  <c r="CF135" i="3" s="1"/>
  <c r="BR41" i="3"/>
  <c r="BQ41" i="3"/>
  <c r="BP41" i="3"/>
  <c r="BN41" i="3"/>
  <c r="BM41" i="3"/>
  <c r="BL41" i="3"/>
  <c r="BK41" i="3"/>
  <c r="BI41" i="3"/>
  <c r="BH41" i="3"/>
  <c r="BG41" i="3"/>
  <c r="BF41" i="3"/>
  <c r="BE41" i="3"/>
  <c r="BD41" i="3"/>
  <c r="BC41" i="3"/>
  <c r="BB41" i="3"/>
  <c r="BA41" i="3"/>
  <c r="AZ41" i="3"/>
  <c r="AO41" i="3"/>
  <c r="R41" i="3"/>
  <c r="DH40" i="3"/>
  <c r="DG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CQ40" i="3"/>
  <c r="BT40" i="3"/>
  <c r="BQ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C40" i="3"/>
  <c r="Z40" i="3"/>
  <c r="DI39" i="3"/>
  <c r="DG39" i="3"/>
  <c r="DE39" i="3"/>
  <c r="DD39" i="3"/>
  <c r="DC39" i="3"/>
  <c r="DA39" i="3"/>
  <c r="CZ39" i="3"/>
  <c r="CY39" i="3"/>
  <c r="CX39" i="3"/>
  <c r="CW39" i="3"/>
  <c r="CV39" i="3"/>
  <c r="CU39" i="3"/>
  <c r="CT39" i="3"/>
  <c r="CS39" i="3"/>
  <c r="CR39" i="3"/>
  <c r="CQ39" i="3"/>
  <c r="CM39" i="3"/>
  <c r="CG39" i="3"/>
  <c r="DB39" i="3" s="1"/>
  <c r="BR39" i="3"/>
  <c r="BN39" i="3"/>
  <c r="BM39" i="3"/>
  <c r="BL39" i="3"/>
  <c r="BJ39" i="3"/>
  <c r="BI39" i="3"/>
  <c r="BH39" i="3"/>
  <c r="BG39" i="3"/>
  <c r="BF39" i="3"/>
  <c r="BE39" i="3"/>
  <c r="BD39" i="3"/>
  <c r="BC39" i="3"/>
  <c r="BB39" i="3"/>
  <c r="BA39" i="3"/>
  <c r="AZ39" i="3"/>
  <c r="AV39" i="3"/>
  <c r="AP39" i="3"/>
  <c r="Y39" i="3"/>
  <c r="Y135" i="3" s="1"/>
  <c r="G39" i="3"/>
  <c r="DH38" i="3"/>
  <c r="DG38" i="3"/>
  <c r="DE38" i="3"/>
  <c r="DC38" i="3"/>
  <c r="DA38" i="3"/>
  <c r="CZ38" i="3"/>
  <c r="CY38" i="3"/>
  <c r="CX38" i="3"/>
  <c r="CW38" i="3"/>
  <c r="CV38" i="3"/>
  <c r="CU38" i="3"/>
  <c r="CT38" i="3"/>
  <c r="CS38" i="3"/>
  <c r="CR38" i="3"/>
  <c r="CQ38" i="3"/>
  <c r="CN38" i="3"/>
  <c r="CI38" i="3"/>
  <c r="DD38" i="3" s="1"/>
  <c r="CG38" i="3"/>
  <c r="BQ38" i="3"/>
  <c r="BN38" i="3"/>
  <c r="BL38" i="3"/>
  <c r="BJ38" i="3"/>
  <c r="BI38" i="3"/>
  <c r="BH38" i="3"/>
  <c r="BG38" i="3"/>
  <c r="BF38" i="3"/>
  <c r="BE38" i="3"/>
  <c r="BD38" i="3"/>
  <c r="BC38" i="3"/>
  <c r="BB38" i="3"/>
  <c r="BA38" i="3"/>
  <c r="AZ38" i="3"/>
  <c r="AW38" i="3"/>
  <c r="AR38" i="3"/>
  <c r="BM38" i="3" s="1"/>
  <c r="AP38" i="3"/>
  <c r="BK38" i="3" s="1"/>
  <c r="Z38" i="3"/>
  <c r="DI37" i="3"/>
  <c r="DH37" i="3"/>
  <c r="DG37" i="3"/>
  <c r="DE37" i="3"/>
  <c r="DD37" i="3"/>
  <c r="DC37" i="3"/>
  <c r="DA37" i="3"/>
  <c r="CZ37" i="3"/>
  <c r="CY37" i="3"/>
  <c r="CX37" i="3"/>
  <c r="CW37" i="3"/>
  <c r="CV37" i="3"/>
  <c r="CU37" i="3"/>
  <c r="CT37" i="3"/>
  <c r="CS37" i="3"/>
  <c r="CR37" i="3"/>
  <c r="CQ37" i="3"/>
  <c r="CG37" i="3"/>
  <c r="BR37" i="3"/>
  <c r="BQ37" i="3"/>
  <c r="BN37" i="3"/>
  <c r="BM37" i="3"/>
  <c r="BL37" i="3"/>
  <c r="BJ37" i="3"/>
  <c r="BI37" i="3"/>
  <c r="BH37" i="3"/>
  <c r="BG37" i="3"/>
  <c r="BF37" i="3"/>
  <c r="BE37" i="3"/>
  <c r="BD37" i="3"/>
  <c r="BC37" i="3"/>
  <c r="BB37" i="3"/>
  <c r="BA37" i="3"/>
  <c r="AZ37" i="3"/>
  <c r="AP37" i="3"/>
  <c r="G37" i="3"/>
  <c r="DI36" i="3"/>
  <c r="DH36" i="3"/>
  <c r="DG36" i="3"/>
  <c r="DE36" i="3"/>
  <c r="DC36" i="3"/>
  <c r="DB36" i="3"/>
  <c r="DA36" i="3"/>
  <c r="CZ36" i="3"/>
  <c r="CY36" i="3"/>
  <c r="CX36" i="3"/>
  <c r="CW36" i="3"/>
  <c r="CV36" i="3"/>
  <c r="CU36" i="3"/>
  <c r="CT36" i="3"/>
  <c r="CS36" i="3"/>
  <c r="CR36" i="3"/>
  <c r="CQ36" i="3"/>
  <c r="CI36" i="3"/>
  <c r="DD36" i="3" s="1"/>
  <c r="BR36" i="3"/>
  <c r="BQ36" i="3"/>
  <c r="BP36" i="3"/>
  <c r="BN36" i="3"/>
  <c r="BL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R36" i="3"/>
  <c r="G36" i="3"/>
  <c r="DI35" i="3"/>
  <c r="DH35" i="3"/>
  <c r="DG35" i="3"/>
  <c r="DE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CQ35" i="3"/>
  <c r="CI35" i="3"/>
  <c r="BT35" i="3" s="1"/>
  <c r="BR35" i="3"/>
  <c r="BN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R35" i="3"/>
  <c r="U35" i="3"/>
  <c r="G35" i="3" s="1"/>
  <c r="DI34" i="3"/>
  <c r="DH34" i="3"/>
  <c r="DG34" i="3"/>
  <c r="DE34" i="3"/>
  <c r="DC34" i="3"/>
  <c r="DB34" i="3"/>
  <c r="DA34" i="3"/>
  <c r="CZ34" i="3"/>
  <c r="CY34" i="3"/>
  <c r="CX34" i="3"/>
  <c r="CW34" i="3"/>
  <c r="CV34" i="3"/>
  <c r="CU34" i="3"/>
  <c r="CT34" i="3"/>
  <c r="CS34" i="3"/>
  <c r="CR34" i="3"/>
  <c r="CQ34" i="3"/>
  <c r="CI34" i="3"/>
  <c r="BN34" i="3"/>
  <c r="BL34" i="3"/>
  <c r="BK34" i="3"/>
  <c r="BJ34" i="3"/>
  <c r="BI34" i="3"/>
  <c r="BH34" i="3"/>
  <c r="BG34" i="3"/>
  <c r="BF34" i="3"/>
  <c r="BE34" i="3"/>
  <c r="BD34" i="3"/>
  <c r="BC34" i="3"/>
  <c r="BB34" i="3"/>
  <c r="BA34" i="3"/>
  <c r="AZ34" i="3"/>
  <c r="AW34" i="3"/>
  <c r="BR34" i="3" s="1"/>
  <c r="AR34" i="3"/>
  <c r="G34" i="3"/>
  <c r="DI33" i="3"/>
  <c r="DH33" i="3"/>
  <c r="DG33" i="3"/>
  <c r="DE33" i="3"/>
  <c r="DC33" i="3"/>
  <c r="DB33" i="3"/>
  <c r="DA33" i="3"/>
  <c r="CZ33" i="3"/>
  <c r="CY33" i="3"/>
  <c r="CX33" i="3"/>
  <c r="CW33" i="3"/>
  <c r="CV33" i="3"/>
  <c r="CU33" i="3"/>
  <c r="CT33" i="3"/>
  <c r="CS33" i="3"/>
  <c r="CR33" i="3"/>
  <c r="CQ33" i="3"/>
  <c r="CI33" i="3"/>
  <c r="DD33" i="3" s="1"/>
  <c r="BR33" i="3"/>
  <c r="BN33" i="3"/>
  <c r="BL33" i="3"/>
  <c r="BK33" i="3"/>
  <c r="BJ33" i="3"/>
  <c r="BI33" i="3"/>
  <c r="BH33" i="3"/>
  <c r="BG33" i="3"/>
  <c r="BF33" i="3"/>
  <c r="BE33" i="3"/>
  <c r="BD33" i="3"/>
  <c r="BC33" i="3"/>
  <c r="BB33" i="3"/>
  <c r="BA33" i="3"/>
  <c r="AZ33" i="3"/>
  <c r="AR33" i="3"/>
  <c r="AC33" i="3" s="1"/>
  <c r="G33" i="3"/>
  <c r="DI32" i="3"/>
  <c r="DH32" i="3"/>
  <c r="DG32" i="3"/>
  <c r="DE32" i="3"/>
  <c r="DC32" i="3"/>
  <c r="DB32" i="3"/>
  <c r="DA32" i="3"/>
  <c r="CZ32" i="3"/>
  <c r="CY32" i="3"/>
  <c r="CX32" i="3"/>
  <c r="CW32" i="3"/>
  <c r="CV32" i="3"/>
  <c r="CU32" i="3"/>
  <c r="CT32" i="3"/>
  <c r="CS32" i="3"/>
  <c r="CR32" i="3"/>
  <c r="CQ32" i="3"/>
  <c r="CI32" i="3"/>
  <c r="BT32" i="3" s="1"/>
  <c r="BR32" i="3"/>
  <c r="BN32" i="3"/>
  <c r="BK32" i="3"/>
  <c r="BJ32" i="3"/>
  <c r="BI32" i="3"/>
  <c r="BH32" i="3"/>
  <c r="BG32" i="3"/>
  <c r="BF32" i="3"/>
  <c r="BE32" i="3"/>
  <c r="BD32" i="3"/>
  <c r="BC32" i="3"/>
  <c r="BB32" i="3"/>
  <c r="BA32" i="3"/>
  <c r="AZ32" i="3"/>
  <c r="AT32" i="3"/>
  <c r="AT135" i="3" s="1"/>
  <c r="AR32" i="3"/>
  <c r="W32" i="3"/>
  <c r="DH31" i="3"/>
  <c r="DG31" i="3"/>
  <c r="DE31" i="3"/>
  <c r="DD31" i="3"/>
  <c r="DC31" i="3"/>
  <c r="DB31" i="3"/>
  <c r="DA31" i="3"/>
  <c r="CZ31" i="3"/>
  <c r="CY31" i="3"/>
  <c r="CX31" i="3"/>
  <c r="CW31" i="3"/>
  <c r="CV31" i="3"/>
  <c r="CU31" i="3"/>
  <c r="CT31" i="3"/>
  <c r="CS31" i="3"/>
  <c r="CR31" i="3"/>
  <c r="CQ31" i="3"/>
  <c r="CN31" i="3"/>
  <c r="BT31" i="3" s="1"/>
  <c r="BN31" i="3"/>
  <c r="BM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W31" i="3"/>
  <c r="Z31" i="3"/>
  <c r="G31" i="3" s="1"/>
  <c r="DH30" i="3"/>
  <c r="DG30" i="3"/>
  <c r="DE30" i="3"/>
  <c r="DD30" i="3"/>
  <c r="DC30" i="3"/>
  <c r="DB30" i="3"/>
  <c r="DA30" i="3"/>
  <c r="CZ30" i="3"/>
  <c r="CY30" i="3"/>
  <c r="CX30" i="3"/>
  <c r="CW30" i="3"/>
  <c r="CV30" i="3"/>
  <c r="CU30" i="3"/>
  <c r="CT30" i="3"/>
  <c r="CS30" i="3"/>
  <c r="CR30" i="3"/>
  <c r="CQ30" i="3"/>
  <c r="CN30" i="3"/>
  <c r="BN30" i="3"/>
  <c r="BM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W30" i="3"/>
  <c r="Z30" i="3"/>
  <c r="G30" i="3" s="1"/>
  <c r="DI29" i="3"/>
  <c r="DH29" i="3"/>
  <c r="DG29" i="3"/>
  <c r="DE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CQ29" i="3"/>
  <c r="CI29" i="3"/>
  <c r="BT29" i="3" s="1"/>
  <c r="BR29" i="3"/>
  <c r="BN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R29" i="3"/>
  <c r="BM29" i="3" s="1"/>
  <c r="G29" i="3"/>
  <c r="DI28" i="3"/>
  <c r="DH28" i="3"/>
  <c r="DG28" i="3"/>
  <c r="DE28" i="3"/>
  <c r="DC28" i="3"/>
  <c r="DB28" i="3"/>
  <c r="DA28" i="3"/>
  <c r="CZ28" i="3"/>
  <c r="CY28" i="3"/>
  <c r="CX28" i="3"/>
  <c r="CW28" i="3"/>
  <c r="CV28" i="3"/>
  <c r="CU28" i="3"/>
  <c r="CT28" i="3"/>
  <c r="CS28" i="3"/>
  <c r="CR28" i="3"/>
  <c r="CQ28" i="3"/>
  <c r="CI28" i="3"/>
  <c r="BR28" i="3"/>
  <c r="BN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R28" i="3"/>
  <c r="G28" i="3"/>
  <c r="DI27" i="3"/>
  <c r="DH27" i="3"/>
  <c r="DG27" i="3"/>
  <c r="DE27" i="3"/>
  <c r="DC27" i="3"/>
  <c r="DB27" i="3"/>
  <c r="DA27" i="3"/>
  <c r="CZ27" i="3"/>
  <c r="CY27" i="3"/>
  <c r="CX27" i="3"/>
  <c r="CW27" i="3"/>
  <c r="CV27" i="3"/>
  <c r="CU27" i="3"/>
  <c r="CT27" i="3"/>
  <c r="CS27" i="3"/>
  <c r="CR27" i="3"/>
  <c r="CQ27" i="3"/>
  <c r="CI27" i="3"/>
  <c r="BT27" i="3" s="1"/>
  <c r="BR27" i="3"/>
  <c r="BN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R27" i="3"/>
  <c r="AC27" i="3" s="1"/>
  <c r="U27" i="3"/>
  <c r="DI26" i="3"/>
  <c r="DH26" i="3"/>
  <c r="DG26" i="3"/>
  <c r="DE26" i="3"/>
  <c r="DC26" i="3"/>
  <c r="DB26" i="3"/>
  <c r="DA26" i="3"/>
  <c r="CZ26" i="3"/>
  <c r="CY26" i="3"/>
  <c r="CX26" i="3"/>
  <c r="CW26" i="3"/>
  <c r="CV26" i="3"/>
  <c r="CU26" i="3"/>
  <c r="CT26" i="3"/>
  <c r="CS26" i="3"/>
  <c r="CR26" i="3"/>
  <c r="CQ26" i="3"/>
  <c r="BT26" i="3"/>
  <c r="BR26" i="3"/>
  <c r="BN26" i="3"/>
  <c r="BL26" i="3"/>
  <c r="BK26" i="3"/>
  <c r="BJ26" i="3"/>
  <c r="BI26" i="3"/>
  <c r="BH26" i="3"/>
  <c r="BG26" i="3"/>
  <c r="BF26" i="3"/>
  <c r="BE26" i="3"/>
  <c r="BD26" i="3"/>
  <c r="BC26" i="3"/>
  <c r="BB26" i="3"/>
  <c r="BA26" i="3"/>
  <c r="AZ26" i="3"/>
  <c r="AC26" i="3"/>
  <c r="U26" i="3"/>
  <c r="BM26" i="3" s="1"/>
  <c r="DI25" i="3"/>
  <c r="DH25" i="3"/>
  <c r="DG25" i="3"/>
  <c r="DE25" i="3"/>
  <c r="DC25" i="3"/>
  <c r="DB25" i="3"/>
  <c r="DA25" i="3"/>
  <c r="CZ25" i="3"/>
  <c r="CY25" i="3"/>
  <c r="CX25" i="3"/>
  <c r="CW25" i="3"/>
  <c r="CV25" i="3"/>
  <c r="CU25" i="3"/>
  <c r="CT25" i="3"/>
  <c r="CS25" i="3"/>
  <c r="CR25" i="3"/>
  <c r="CQ25" i="3"/>
  <c r="CI25" i="3"/>
  <c r="BR25" i="3"/>
  <c r="BN25" i="3"/>
  <c r="BL25" i="3"/>
  <c r="BK25" i="3"/>
  <c r="BJ25" i="3"/>
  <c r="BI25" i="3"/>
  <c r="BH25" i="3"/>
  <c r="BG25" i="3"/>
  <c r="BF25" i="3"/>
  <c r="BE25" i="3"/>
  <c r="BD25" i="3"/>
  <c r="BC25" i="3"/>
  <c r="BB25" i="3"/>
  <c r="BA25" i="3"/>
  <c r="AZ25" i="3"/>
  <c r="AR25" i="3"/>
  <c r="BM25" i="3" s="1"/>
  <c r="G25" i="3"/>
  <c r="DI24" i="3"/>
  <c r="DH24" i="3"/>
  <c r="DG24" i="3"/>
  <c r="DE24" i="3"/>
  <c r="DC24" i="3"/>
  <c r="DB24" i="3"/>
  <c r="DA24" i="3"/>
  <c r="CZ24" i="3"/>
  <c r="CY24" i="3"/>
  <c r="CX24" i="3"/>
  <c r="CW24" i="3"/>
  <c r="CV24" i="3"/>
  <c r="CU24" i="3"/>
  <c r="CT24" i="3"/>
  <c r="CS24" i="3"/>
  <c r="CR24" i="3"/>
  <c r="CQ24" i="3"/>
  <c r="CI24" i="3"/>
  <c r="BR24" i="3"/>
  <c r="BN24" i="3"/>
  <c r="BL24" i="3"/>
  <c r="BK24" i="3"/>
  <c r="BJ24" i="3"/>
  <c r="BI24" i="3"/>
  <c r="BH24" i="3"/>
  <c r="BG24" i="3"/>
  <c r="BF24" i="3"/>
  <c r="BE24" i="3"/>
  <c r="BD24" i="3"/>
  <c r="BC24" i="3"/>
  <c r="BB24" i="3"/>
  <c r="BA24" i="3"/>
  <c r="AZ24" i="3"/>
  <c r="AR24" i="3"/>
  <c r="G24" i="3"/>
  <c r="DI23" i="3"/>
  <c r="DH23" i="3"/>
  <c r="DG23" i="3"/>
  <c r="DE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Q23" i="3"/>
  <c r="BW23" i="3"/>
  <c r="BR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AZ23" i="3"/>
  <c r="AF23" i="3"/>
  <c r="AC23" i="3" s="1"/>
  <c r="I23" i="3"/>
  <c r="DI22" i="3"/>
  <c r="DH22" i="3"/>
  <c r="DG22" i="3"/>
  <c r="DE22" i="3"/>
  <c r="DD22" i="3"/>
  <c r="DC22" i="3"/>
  <c r="DB22" i="3"/>
  <c r="DA22" i="3"/>
  <c r="CZ22" i="3"/>
  <c r="CY22" i="3"/>
  <c r="CX22" i="3"/>
  <c r="CW22" i="3"/>
  <c r="CV22" i="3"/>
  <c r="CU22" i="3"/>
  <c r="CT22" i="3"/>
  <c r="CS22" i="3"/>
  <c r="CQ22" i="3"/>
  <c r="BW22" i="3"/>
  <c r="BT22" i="3" s="1"/>
  <c r="BR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AZ22" i="3"/>
  <c r="AF22" i="3"/>
  <c r="AC22" i="3" s="1"/>
  <c r="G22" i="3"/>
  <c r="DI21" i="3"/>
  <c r="DH21" i="3"/>
  <c r="DG21" i="3"/>
  <c r="DE21" i="3"/>
  <c r="DD21" i="3"/>
  <c r="DC21" i="3"/>
  <c r="DB21" i="3"/>
  <c r="DA21" i="3"/>
  <c r="CZ21" i="3"/>
  <c r="CY21" i="3"/>
  <c r="CX21" i="3"/>
  <c r="CW21" i="3"/>
  <c r="CV21" i="3"/>
  <c r="CU21" i="3"/>
  <c r="CT21" i="3"/>
  <c r="CS21" i="3"/>
  <c r="CQ21" i="3"/>
  <c r="BW21" i="3"/>
  <c r="CR21" i="3" s="1"/>
  <c r="BT21" i="3"/>
  <c r="BR21" i="3"/>
  <c r="BN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AZ21" i="3"/>
  <c r="AF21" i="3"/>
  <c r="G21" i="3"/>
  <c r="DF20" i="3"/>
  <c r="CM20" i="3"/>
  <c r="CL20" i="3"/>
  <c r="CJ20" i="3"/>
  <c r="CI20" i="3"/>
  <c r="CF20" i="3"/>
  <c r="CE20" i="3"/>
  <c r="CD20" i="3"/>
  <c r="CD130" i="3" s="1"/>
  <c r="CC20" i="3"/>
  <c r="CB20" i="3"/>
  <c r="CA20" i="3"/>
  <c r="BX20" i="3"/>
  <c r="BV20" i="3"/>
  <c r="BU20" i="3"/>
  <c r="AV20" i="3"/>
  <c r="AU20" i="3"/>
  <c r="AT20" i="3"/>
  <c r="AS20" i="3"/>
  <c r="AR20" i="3"/>
  <c r="AO20" i="3"/>
  <c r="AN20" i="3"/>
  <c r="AM20" i="3"/>
  <c r="AL20" i="3"/>
  <c r="AK20" i="3"/>
  <c r="AJ20" i="3"/>
  <c r="AG20" i="3"/>
  <c r="AE20" i="3"/>
  <c r="Y20" i="3"/>
  <c r="X20" i="3"/>
  <c r="V20" i="3"/>
  <c r="U20" i="3"/>
  <c r="T20" i="3"/>
  <c r="S20" i="3"/>
  <c r="R20" i="3"/>
  <c r="Q20" i="3"/>
  <c r="P20" i="3"/>
  <c r="O20" i="3"/>
  <c r="N20" i="3"/>
  <c r="M20" i="3"/>
  <c r="L20" i="3"/>
  <c r="J20" i="3"/>
  <c r="H20" i="3"/>
  <c r="DI19" i="3"/>
  <c r="DH19" i="3"/>
  <c r="DG19" i="3"/>
  <c r="DE19" i="3"/>
  <c r="DD19" i="3"/>
  <c r="DC19" i="3"/>
  <c r="DB19" i="3"/>
  <c r="DA19" i="3"/>
  <c r="CZ19" i="3"/>
  <c r="CY19" i="3"/>
  <c r="CX19" i="3"/>
  <c r="CW19" i="3"/>
  <c r="CV19" i="3"/>
  <c r="CU19" i="3"/>
  <c r="CS19" i="3"/>
  <c r="CR19" i="3"/>
  <c r="CQ19" i="3"/>
  <c r="BY19" i="3"/>
  <c r="BQ19" i="3"/>
  <c r="BN19" i="3"/>
  <c r="BM19" i="3"/>
  <c r="BL19" i="3"/>
  <c r="BK19" i="3"/>
  <c r="BJ19" i="3"/>
  <c r="BI19" i="3"/>
  <c r="BH19" i="3"/>
  <c r="BG19" i="3"/>
  <c r="BF19" i="3"/>
  <c r="BE19" i="3"/>
  <c r="BD19" i="3"/>
  <c r="BB19" i="3"/>
  <c r="BA19" i="3"/>
  <c r="AZ19" i="3"/>
  <c r="AW19" i="3"/>
  <c r="BR19" i="3" s="1"/>
  <c r="AH19" i="3"/>
  <c r="G19" i="3"/>
  <c r="DI18" i="3"/>
  <c r="DH18" i="3"/>
  <c r="DG18" i="3"/>
  <c r="DE18" i="3"/>
  <c r="DD18" i="3"/>
  <c r="DC18" i="3"/>
  <c r="DB18" i="3"/>
  <c r="DA18" i="3"/>
  <c r="CZ18" i="3"/>
  <c r="CY18" i="3"/>
  <c r="CX18" i="3"/>
  <c r="CW18" i="3"/>
  <c r="CV18" i="3"/>
  <c r="CU18" i="3"/>
  <c r="CS18" i="3"/>
  <c r="CR18" i="3"/>
  <c r="CQ18" i="3"/>
  <c r="BY18" i="3"/>
  <c r="BT18" i="3" s="1"/>
  <c r="BR18" i="3"/>
  <c r="BQ18" i="3"/>
  <c r="BN18" i="3"/>
  <c r="BM18" i="3"/>
  <c r="BL18" i="3"/>
  <c r="BK18" i="3"/>
  <c r="BJ18" i="3"/>
  <c r="BI18" i="3"/>
  <c r="BH18" i="3"/>
  <c r="BG18" i="3"/>
  <c r="BF18" i="3"/>
  <c r="BE18" i="3"/>
  <c r="BD18" i="3"/>
  <c r="BB18" i="3"/>
  <c r="BA18" i="3"/>
  <c r="AZ18" i="3"/>
  <c r="AH18" i="3"/>
  <c r="G18" i="3"/>
  <c r="DI17" i="3"/>
  <c r="DH17" i="3"/>
  <c r="DG17" i="3"/>
  <c r="DE17" i="3"/>
  <c r="DD17" i="3"/>
  <c r="DC17" i="3"/>
  <c r="DB17" i="3"/>
  <c r="DA17" i="3"/>
  <c r="CZ17" i="3"/>
  <c r="CY17" i="3"/>
  <c r="CX17" i="3"/>
  <c r="CW17" i="3"/>
  <c r="CV17" i="3"/>
  <c r="CU17" i="3"/>
  <c r="CS17" i="3"/>
  <c r="CR17" i="3"/>
  <c r="CQ17" i="3"/>
  <c r="BY17" i="3"/>
  <c r="BT17" i="3" s="1"/>
  <c r="BR17" i="3"/>
  <c r="BQ17" i="3"/>
  <c r="BP17" i="3"/>
  <c r="BN17" i="3"/>
  <c r="BM17" i="3"/>
  <c r="BL17" i="3"/>
  <c r="BK17" i="3"/>
  <c r="BJ17" i="3"/>
  <c r="BI17" i="3"/>
  <c r="BH17" i="3"/>
  <c r="BG17" i="3"/>
  <c r="BF17" i="3"/>
  <c r="BE17" i="3"/>
  <c r="BD17" i="3"/>
  <c r="BB17" i="3"/>
  <c r="BA17" i="3"/>
  <c r="AZ17" i="3"/>
  <c r="AH17" i="3"/>
  <c r="AC17" i="3" s="1"/>
  <c r="K17" i="3"/>
  <c r="G17" i="3" s="1"/>
  <c r="DH16" i="3"/>
  <c r="DG16" i="3"/>
  <c r="DE16" i="3"/>
  <c r="DD16" i="3"/>
  <c r="DC16" i="3"/>
  <c r="DB16" i="3"/>
  <c r="DA16" i="3"/>
  <c r="CZ16" i="3"/>
  <c r="CY16" i="3"/>
  <c r="CX16" i="3"/>
  <c r="CW16" i="3"/>
  <c r="CV16" i="3"/>
  <c r="CU16" i="3"/>
  <c r="CT16" i="3"/>
  <c r="CS16" i="3"/>
  <c r="CR16" i="3"/>
  <c r="CQ16" i="3"/>
  <c r="BT16" i="3"/>
  <c r="BQ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C16" i="3"/>
  <c r="Z16" i="3"/>
  <c r="DI16" i="3" s="1"/>
  <c r="DI15" i="3"/>
  <c r="DH15" i="3"/>
  <c r="DG15" i="3"/>
  <c r="DE15" i="3"/>
  <c r="DD15" i="3"/>
  <c r="DC15" i="3"/>
  <c r="DA15" i="3"/>
  <c r="CZ15" i="3"/>
  <c r="CY15" i="3"/>
  <c r="CX15" i="3"/>
  <c r="CW15" i="3"/>
  <c r="CV15" i="3"/>
  <c r="CU15" i="3"/>
  <c r="CS15" i="3"/>
  <c r="CR15" i="3"/>
  <c r="CQ15" i="3"/>
  <c r="BY15" i="3"/>
  <c r="BR15" i="3"/>
  <c r="BQ15" i="3"/>
  <c r="BN15" i="3"/>
  <c r="BM15" i="3"/>
  <c r="BL15" i="3"/>
  <c r="BJ15" i="3"/>
  <c r="BI15" i="3"/>
  <c r="BH15" i="3"/>
  <c r="BG15" i="3"/>
  <c r="BF15" i="3"/>
  <c r="BE15" i="3"/>
  <c r="BD15" i="3"/>
  <c r="BB15" i="3"/>
  <c r="BA15" i="3"/>
  <c r="AZ15" i="3"/>
  <c r="AP15" i="3"/>
  <c r="AH15" i="3"/>
  <c r="G15" i="3"/>
  <c r="DI14" i="3"/>
  <c r="DH14" i="3"/>
  <c r="DG14" i="3"/>
  <c r="DE14" i="3"/>
  <c r="DD14" i="3"/>
  <c r="DC14" i="3"/>
  <c r="DB14" i="3"/>
  <c r="DA14" i="3"/>
  <c r="CZ14" i="3"/>
  <c r="CY14" i="3"/>
  <c r="CX14" i="3"/>
  <c r="CW14" i="3"/>
  <c r="CV14" i="3"/>
  <c r="CU14" i="3"/>
  <c r="CS14" i="3"/>
  <c r="CR14" i="3"/>
  <c r="CQ14" i="3"/>
  <c r="BY14" i="3"/>
  <c r="BR14" i="3"/>
  <c r="BQ14" i="3"/>
  <c r="BP14" i="3"/>
  <c r="BN14" i="3"/>
  <c r="BM14" i="3"/>
  <c r="BL14" i="3"/>
  <c r="BK14" i="3"/>
  <c r="BJ14" i="3"/>
  <c r="BI14" i="3"/>
  <c r="BH14" i="3"/>
  <c r="BG14" i="3"/>
  <c r="BF14" i="3"/>
  <c r="BE14" i="3"/>
  <c r="BD14" i="3"/>
  <c r="BB14" i="3"/>
  <c r="BA14" i="3"/>
  <c r="AZ14" i="3"/>
  <c r="AH14" i="3"/>
  <c r="G14" i="3"/>
  <c r="DH13" i="3"/>
  <c r="DG13" i="3"/>
  <c r="DE13" i="3"/>
  <c r="DD13" i="3"/>
  <c r="DB13" i="3"/>
  <c r="DA13" i="3"/>
  <c r="CZ13" i="3"/>
  <c r="CY13" i="3"/>
  <c r="CX13" i="3"/>
  <c r="CW13" i="3"/>
  <c r="CV13" i="3"/>
  <c r="CS13" i="3"/>
  <c r="CR13" i="3"/>
  <c r="CQ13" i="3"/>
  <c r="CN13" i="3"/>
  <c r="CH13" i="3"/>
  <c r="BZ13" i="3"/>
  <c r="BY13" i="3"/>
  <c r="CT13" i="3" s="1"/>
  <c r="BQ13" i="3"/>
  <c r="BN13" i="3"/>
  <c r="BM13" i="3"/>
  <c r="BK13" i="3"/>
  <c r="BJ13" i="3"/>
  <c r="BI13" i="3"/>
  <c r="BH13" i="3"/>
  <c r="BG13" i="3"/>
  <c r="BF13" i="3"/>
  <c r="BE13" i="3"/>
  <c r="BC13" i="3"/>
  <c r="BB13" i="3"/>
  <c r="BA13" i="3"/>
  <c r="AZ13" i="3"/>
  <c r="AW13" i="3"/>
  <c r="AQ13" i="3"/>
  <c r="AI13" i="3"/>
  <c r="Z13" i="3"/>
  <c r="DI12" i="3"/>
  <c r="DH12" i="3"/>
  <c r="DG12" i="3"/>
  <c r="DE12" i="3"/>
  <c r="DD12" i="3"/>
  <c r="DC12" i="3"/>
  <c r="DB12" i="3"/>
  <c r="DA12" i="3"/>
  <c r="CZ12" i="3"/>
  <c r="CY12" i="3"/>
  <c r="CX12" i="3"/>
  <c r="CW12" i="3"/>
  <c r="CV12" i="3"/>
  <c r="CU12" i="3"/>
  <c r="CS12" i="3"/>
  <c r="CR12" i="3"/>
  <c r="CQ12" i="3"/>
  <c r="BY12" i="3"/>
  <c r="BR12" i="3"/>
  <c r="BQ12" i="3"/>
  <c r="BN12" i="3"/>
  <c r="BM12" i="3"/>
  <c r="BL12" i="3"/>
  <c r="BK12" i="3"/>
  <c r="BJ12" i="3"/>
  <c r="BI12" i="3"/>
  <c r="BH12" i="3"/>
  <c r="BG12" i="3"/>
  <c r="BF12" i="3"/>
  <c r="BE12" i="3"/>
  <c r="BD12" i="3"/>
  <c r="BB12" i="3"/>
  <c r="BA12" i="3"/>
  <c r="AZ12" i="3"/>
  <c r="AH12" i="3"/>
  <c r="G12" i="3"/>
  <c r="DI11" i="3"/>
  <c r="DH11" i="3"/>
  <c r="DG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Q11" i="3"/>
  <c r="BW11" i="3"/>
  <c r="BR11" i="3"/>
  <c r="BQ11" i="3"/>
  <c r="BN11" i="3"/>
  <c r="BM11" i="3"/>
  <c r="BL11" i="3"/>
  <c r="BK11" i="3"/>
  <c r="BJ11" i="3"/>
  <c r="BI11" i="3"/>
  <c r="BH11" i="3"/>
  <c r="BG11" i="3"/>
  <c r="BF11" i="3"/>
  <c r="BE11" i="3"/>
  <c r="BD11" i="3"/>
  <c r="BB11" i="3"/>
  <c r="BA11" i="3"/>
  <c r="AZ11" i="3"/>
  <c r="AH11" i="3"/>
  <c r="AC11" i="3" s="1"/>
  <c r="G11" i="3"/>
  <c r="DI10" i="3"/>
  <c r="DH10" i="3"/>
  <c r="DG10" i="3"/>
  <c r="DE10" i="3"/>
  <c r="DD10" i="3"/>
  <c r="DC10" i="3"/>
  <c r="DB10" i="3"/>
  <c r="DA10" i="3"/>
  <c r="CZ10" i="3"/>
  <c r="CY10" i="3"/>
  <c r="CX10" i="3"/>
  <c r="CW10" i="3"/>
  <c r="CV10" i="3"/>
  <c r="CU10" i="3"/>
  <c r="CS10" i="3"/>
  <c r="CR10" i="3"/>
  <c r="CQ10" i="3"/>
  <c r="BY10" i="3"/>
  <c r="CT10" i="3" s="1"/>
  <c r="BR10" i="3"/>
  <c r="BQ10" i="3"/>
  <c r="BN10" i="3"/>
  <c r="BM10" i="3"/>
  <c r="BL10" i="3"/>
  <c r="BK10" i="3"/>
  <c r="BJ10" i="3"/>
  <c r="BI10" i="3"/>
  <c r="BH10" i="3"/>
  <c r="BG10" i="3"/>
  <c r="BF10" i="3"/>
  <c r="BE10" i="3"/>
  <c r="BD10" i="3"/>
  <c r="BB10" i="3"/>
  <c r="BA10" i="3"/>
  <c r="AZ10" i="3"/>
  <c r="AH10" i="3"/>
  <c r="BC10" i="3" s="1"/>
  <c r="G10" i="3"/>
  <c r="DH9" i="3"/>
  <c r="DG9" i="3"/>
  <c r="DE9" i="3"/>
  <c r="DD9" i="3"/>
  <c r="DC9" i="3"/>
  <c r="DB9" i="3"/>
  <c r="DA9" i="3"/>
  <c r="CZ9" i="3"/>
  <c r="CY9" i="3"/>
  <c r="CX9" i="3"/>
  <c r="CW9" i="3"/>
  <c r="CV9" i="3"/>
  <c r="CU9" i="3"/>
  <c r="CS9" i="3"/>
  <c r="CQ9" i="3"/>
  <c r="CN9" i="3"/>
  <c r="BW9" i="3"/>
  <c r="BQ9" i="3"/>
  <c r="BN9" i="3"/>
  <c r="BM9" i="3"/>
  <c r="BL9" i="3"/>
  <c r="BK9" i="3"/>
  <c r="BJ9" i="3"/>
  <c r="BI9" i="3"/>
  <c r="BH9" i="3"/>
  <c r="BG9" i="3"/>
  <c r="BF9" i="3"/>
  <c r="BE9" i="3"/>
  <c r="BD9" i="3"/>
  <c r="BB9" i="3"/>
  <c r="AZ9" i="3"/>
  <c r="AW9" i="3"/>
  <c r="AH9" i="3"/>
  <c r="AF9" i="3"/>
  <c r="Z9" i="3"/>
  <c r="K9" i="3"/>
  <c r="BC9" i="3" s="1"/>
  <c r="I9" i="3"/>
  <c r="DI8" i="3"/>
  <c r="DH8" i="3"/>
  <c r="DG8" i="3"/>
  <c r="DE8" i="3"/>
  <c r="DD8" i="3"/>
  <c r="DC8" i="3"/>
  <c r="DB8" i="3"/>
  <c r="DA8" i="3"/>
  <c r="CZ8" i="3"/>
  <c r="CY8" i="3"/>
  <c r="CX8" i="3"/>
  <c r="CW8" i="3"/>
  <c r="CV8" i="3"/>
  <c r="CU8" i="3"/>
  <c r="CS8" i="3"/>
  <c r="CQ8" i="3"/>
  <c r="BW8" i="3"/>
  <c r="BW20" i="3" s="1"/>
  <c r="BR8" i="3"/>
  <c r="BQ8" i="3"/>
  <c r="BN8" i="3"/>
  <c r="BM8" i="3"/>
  <c r="BL8" i="3"/>
  <c r="BK8" i="3"/>
  <c r="BJ8" i="3"/>
  <c r="BI8" i="3"/>
  <c r="BH8" i="3"/>
  <c r="BG8" i="3"/>
  <c r="BF8" i="3"/>
  <c r="BE8" i="3"/>
  <c r="BD8" i="3"/>
  <c r="BB8" i="3"/>
  <c r="AZ8" i="3"/>
  <c r="AH8" i="3"/>
  <c r="AF8" i="3"/>
  <c r="K8" i="3"/>
  <c r="I8" i="3"/>
  <c r="DH7" i="3"/>
  <c r="DG7" i="3"/>
  <c r="DE7" i="3"/>
  <c r="DD7" i="3"/>
  <c r="DC7" i="3"/>
  <c r="DB7" i="3"/>
  <c r="DA7" i="3"/>
  <c r="CZ7" i="3"/>
  <c r="CY7" i="3"/>
  <c r="CX7" i="3"/>
  <c r="CW7" i="3"/>
  <c r="CV7" i="3"/>
  <c r="CU7" i="3"/>
  <c r="CS7" i="3"/>
  <c r="CQ7" i="3"/>
  <c r="CN7" i="3"/>
  <c r="BT7" i="3" s="1"/>
  <c r="BQ7" i="3"/>
  <c r="BN7" i="3"/>
  <c r="BM7" i="3"/>
  <c r="BL7" i="3"/>
  <c r="BK7" i="3"/>
  <c r="BJ7" i="3"/>
  <c r="BI7" i="3"/>
  <c r="BH7" i="3"/>
  <c r="BG7" i="3"/>
  <c r="BF7" i="3"/>
  <c r="BE7" i="3"/>
  <c r="BD7" i="3"/>
  <c r="BB7" i="3"/>
  <c r="AZ7" i="3"/>
  <c r="AW7" i="3"/>
  <c r="AC7" i="3" s="1"/>
  <c r="Z7" i="3"/>
  <c r="DI7" i="3" s="1"/>
  <c r="K7" i="3"/>
  <c r="BC7" i="3" s="1"/>
  <c r="I7" i="3"/>
  <c r="DI6" i="3"/>
  <c r="DH6" i="3"/>
  <c r="DG6" i="3"/>
  <c r="DE6" i="3"/>
  <c r="DD6" i="3"/>
  <c r="DC6" i="3"/>
  <c r="DB6" i="3"/>
  <c r="DA6" i="3"/>
  <c r="CZ6" i="3"/>
  <c r="CY6" i="3"/>
  <c r="CX6" i="3"/>
  <c r="CW6" i="3"/>
  <c r="CV6" i="3"/>
  <c r="CU6" i="3"/>
  <c r="CS6" i="3"/>
  <c r="CQ6" i="3"/>
  <c r="BY6" i="3"/>
  <c r="BT6" i="3" s="1"/>
  <c r="BR6" i="3"/>
  <c r="BQ6" i="3"/>
  <c r="BN6" i="3"/>
  <c r="BM6" i="3"/>
  <c r="BL6" i="3"/>
  <c r="BK6" i="3"/>
  <c r="BJ6" i="3"/>
  <c r="BI6" i="3"/>
  <c r="BH6" i="3"/>
  <c r="BG6" i="3"/>
  <c r="BF6" i="3"/>
  <c r="BE6" i="3"/>
  <c r="BD6" i="3"/>
  <c r="BB6" i="3"/>
  <c r="AZ6" i="3"/>
  <c r="AH6" i="3"/>
  <c r="AC6" i="3" s="1"/>
  <c r="K6" i="3"/>
  <c r="I6" i="3"/>
  <c r="DH5" i="3"/>
  <c r="DG5" i="3"/>
  <c r="DE5" i="3"/>
  <c r="DD5" i="3"/>
  <c r="DC5" i="3"/>
  <c r="DB5" i="3"/>
  <c r="DA5" i="3"/>
  <c r="CZ5" i="3"/>
  <c r="CY5" i="3"/>
  <c r="CX5" i="3"/>
  <c r="CW5" i="3"/>
  <c r="CV5" i="3"/>
  <c r="CU5" i="3"/>
  <c r="CS5" i="3"/>
  <c r="CQ5" i="3"/>
  <c r="CN5" i="3"/>
  <c r="BY5" i="3"/>
  <c r="BQ5" i="3"/>
  <c r="BN5" i="3"/>
  <c r="BM5" i="3"/>
  <c r="BL5" i="3"/>
  <c r="BK5" i="3"/>
  <c r="BJ5" i="3"/>
  <c r="BI5" i="3"/>
  <c r="BH5" i="3"/>
  <c r="BG5" i="3"/>
  <c r="BF5" i="3"/>
  <c r="BE5" i="3"/>
  <c r="BD5" i="3"/>
  <c r="BB5" i="3"/>
  <c r="AZ5" i="3"/>
  <c r="AW5" i="3"/>
  <c r="AH5" i="3"/>
  <c r="Z5" i="3"/>
  <c r="K5" i="3"/>
  <c r="I5" i="3"/>
  <c r="BA5" i="3" s="1"/>
  <c r="DI4" i="3"/>
  <c r="DH4" i="3"/>
  <c r="DG4" i="3"/>
  <c r="DE4" i="3"/>
  <c r="DD4" i="3"/>
  <c r="DC4" i="3"/>
  <c r="DB4" i="3"/>
  <c r="DA4" i="3"/>
  <c r="CZ4" i="3"/>
  <c r="CY4" i="3"/>
  <c r="CX4" i="3"/>
  <c r="CW4" i="3"/>
  <c r="CV4" i="3"/>
  <c r="CU4" i="3"/>
  <c r="CS4" i="3"/>
  <c r="CR4" i="3"/>
  <c r="CQ4" i="3"/>
  <c r="BY4" i="3"/>
  <c r="CT4" i="3" s="1"/>
  <c r="BR4" i="3"/>
  <c r="BQ4" i="3"/>
  <c r="BP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C4" i="3"/>
  <c r="G4" i="3"/>
  <c r="BT41" i="3" l="1"/>
  <c r="BH132" i="3"/>
  <c r="BS72" i="3"/>
  <c r="CO72" i="3" s="1"/>
  <c r="Z134" i="3"/>
  <c r="AM130" i="3"/>
  <c r="DI38" i="3"/>
  <c r="Y58" i="3"/>
  <c r="BS75" i="3"/>
  <c r="CO75" i="3" s="1"/>
  <c r="CR109" i="3"/>
  <c r="BB111" i="3"/>
  <c r="BS51" i="3"/>
  <c r="CO51" i="3" s="1"/>
  <c r="BD134" i="3"/>
  <c r="BC64" i="3"/>
  <c r="BP108" i="3"/>
  <c r="CR22" i="3"/>
  <c r="CP22" i="3" s="1"/>
  <c r="DB134" i="3"/>
  <c r="AL130" i="3"/>
  <c r="BL134" i="3"/>
  <c r="BS62" i="3"/>
  <c r="CO62" i="3" s="1"/>
  <c r="AC64" i="3"/>
  <c r="BS81" i="3"/>
  <c r="CO81" i="3" s="1"/>
  <c r="AB105" i="3"/>
  <c r="AX105" i="3" s="1"/>
  <c r="BM119" i="3"/>
  <c r="BM133" i="3" s="1"/>
  <c r="BT44" i="3"/>
  <c r="BS44" i="3" s="1"/>
  <c r="CO44" i="3" s="1"/>
  <c r="BS90" i="4"/>
  <c r="DN90" i="4"/>
  <c r="CP104" i="4"/>
  <c r="BA109" i="3"/>
  <c r="AW134" i="4"/>
  <c r="CN134" i="4"/>
  <c r="BS10" i="4"/>
  <c r="CO10" i="4" s="1"/>
  <c r="BT22" i="4"/>
  <c r="DN22" i="4" s="1"/>
  <c r="BM42" i="4"/>
  <c r="BM50" i="4"/>
  <c r="BT61" i="4"/>
  <c r="DN61" i="4" s="1"/>
  <c r="AC70" i="4"/>
  <c r="AB70" i="4" s="1"/>
  <c r="AX70" i="4" s="1"/>
  <c r="AC78" i="4"/>
  <c r="AB78" i="4" s="1"/>
  <c r="AX78" i="4" s="1"/>
  <c r="DB80" i="4"/>
  <c r="AC102" i="4"/>
  <c r="BT70" i="3"/>
  <c r="BS70" i="3" s="1"/>
  <c r="CO70" i="3" s="1"/>
  <c r="AC44" i="4"/>
  <c r="BA48" i="4"/>
  <c r="AC50" i="4"/>
  <c r="BT56" i="4"/>
  <c r="DN56" i="4" s="1"/>
  <c r="CR49" i="4"/>
  <c r="CP49" i="4" s="1"/>
  <c r="BA119" i="4"/>
  <c r="DI127" i="4"/>
  <c r="BT5" i="4"/>
  <c r="DD44" i="4"/>
  <c r="BS49" i="4"/>
  <c r="CO49" i="4" s="1"/>
  <c r="BK80" i="4"/>
  <c r="BS93" i="4"/>
  <c r="AO135" i="4"/>
  <c r="BR5" i="3"/>
  <c r="AC51" i="3"/>
  <c r="AB51" i="3" s="1"/>
  <c r="AX51" i="3" s="1"/>
  <c r="BT56" i="3"/>
  <c r="BS56" i="3" s="1"/>
  <c r="CO56" i="3" s="1"/>
  <c r="DI59" i="3"/>
  <c r="BR68" i="3"/>
  <c r="BT111" i="3"/>
  <c r="BC6" i="4"/>
  <c r="CG15" i="4"/>
  <c r="CG20" i="4" s="1"/>
  <c r="AB46" i="4"/>
  <c r="AX46" i="4" s="1"/>
  <c r="BC77" i="4"/>
  <c r="AY77" i="4" s="1"/>
  <c r="DE93" i="4"/>
  <c r="CQ104" i="4"/>
  <c r="BT106" i="4"/>
  <c r="AB118" i="4"/>
  <c r="AX118" i="4" s="1"/>
  <c r="BN132" i="4"/>
  <c r="BS118" i="4"/>
  <c r="CT132" i="4"/>
  <c r="DH128" i="4"/>
  <c r="CA139" i="4"/>
  <c r="CA141" i="4" s="1"/>
  <c r="AM130" i="4"/>
  <c r="BS98" i="4"/>
  <c r="X130" i="4"/>
  <c r="DI96" i="4"/>
  <c r="DI108" i="4" s="1"/>
  <c r="CB139" i="4"/>
  <c r="CB141" i="4" s="1"/>
  <c r="BU130" i="4"/>
  <c r="DC91" i="4"/>
  <c r="CP71" i="4"/>
  <c r="BS77" i="4"/>
  <c r="BS74" i="4"/>
  <c r="CO74" i="4" s="1"/>
  <c r="AB60" i="4"/>
  <c r="AX60" i="4" s="1"/>
  <c r="BS67" i="4"/>
  <c r="CO67" i="4" s="1"/>
  <c r="BS73" i="4"/>
  <c r="BS81" i="4"/>
  <c r="BS68" i="4"/>
  <c r="CP55" i="4"/>
  <c r="AM139" i="4"/>
  <c r="AM141" i="4" s="1"/>
  <c r="AB48" i="4"/>
  <c r="AX48" i="4" s="1"/>
  <c r="BS34" i="4"/>
  <c r="CO34" i="4" s="1"/>
  <c r="V139" i="4"/>
  <c r="M139" i="4"/>
  <c r="M141" i="4" s="1"/>
  <c r="AK139" i="4"/>
  <c r="BS18" i="4"/>
  <c r="CO18" i="4" s="1"/>
  <c r="DH20" i="4"/>
  <c r="CY20" i="4"/>
  <c r="BF134" i="4"/>
  <c r="BS14" i="4"/>
  <c r="CO14" i="4" s="1"/>
  <c r="AK130" i="4"/>
  <c r="CT7" i="4"/>
  <c r="BC7" i="4"/>
  <c r="BC8" i="4"/>
  <c r="G8" i="4"/>
  <c r="AB8" i="4" s="1"/>
  <c r="AX8" i="4" s="1"/>
  <c r="CV134" i="4"/>
  <c r="DD134" i="4"/>
  <c r="BJ20" i="4"/>
  <c r="AY14" i="4"/>
  <c r="AC22" i="4"/>
  <c r="AB22" i="4" s="1"/>
  <c r="AX22" i="4" s="1"/>
  <c r="BA22" i="4"/>
  <c r="BS26" i="4"/>
  <c r="CO26" i="4" s="1"/>
  <c r="G76" i="4"/>
  <c r="BS76" i="4" s="1"/>
  <c r="CO76" i="4" s="1"/>
  <c r="CT76" i="4"/>
  <c r="CP76" i="4" s="1"/>
  <c r="BK82" i="4"/>
  <c r="AY82" i="4" s="1"/>
  <c r="G82" i="4"/>
  <c r="BS82" i="4" s="1"/>
  <c r="CO82" i="4" s="1"/>
  <c r="DB82" i="4"/>
  <c r="BT89" i="4"/>
  <c r="DB89" i="4"/>
  <c r="CP89" i="4" s="1"/>
  <c r="BT113" i="4"/>
  <c r="CR113" i="4"/>
  <c r="CP113" i="4" s="1"/>
  <c r="CY133" i="4"/>
  <c r="BI20" i="4"/>
  <c r="AB6" i="4"/>
  <c r="AX6" i="4" s="1"/>
  <c r="CS20" i="4"/>
  <c r="BG134" i="4"/>
  <c r="BQ134" i="4"/>
  <c r="AC9" i="4"/>
  <c r="AB9" i="4" s="1"/>
  <c r="AX9" i="4" s="1"/>
  <c r="AC11" i="4"/>
  <c r="AB11" i="4" s="1"/>
  <c r="AX11" i="4" s="1"/>
  <c r="G13" i="4"/>
  <c r="G54" i="4"/>
  <c r="CR54" i="4"/>
  <c r="DD108" i="4"/>
  <c r="AS139" i="4"/>
  <c r="CG128" i="4"/>
  <c r="BT120" i="4"/>
  <c r="DD36" i="4"/>
  <c r="BT36" i="4"/>
  <c r="AB53" i="4"/>
  <c r="AX53" i="4" s="1"/>
  <c r="AC89" i="4"/>
  <c r="BC89" i="4"/>
  <c r="AC29" i="4"/>
  <c r="AB29" i="4" s="1"/>
  <c r="AX29" i="4" s="1"/>
  <c r="BM29" i="4"/>
  <c r="AY29" i="4" s="1"/>
  <c r="AY69" i="4"/>
  <c r="BN98" i="4"/>
  <c r="AY98" i="4" s="1"/>
  <c r="AC98" i="4"/>
  <c r="AB98" i="4" s="1"/>
  <c r="AX98" i="4" s="1"/>
  <c r="BT27" i="4"/>
  <c r="DN27" i="4" s="1"/>
  <c r="DD27" i="4"/>
  <c r="CP27" i="4" s="1"/>
  <c r="AT58" i="4"/>
  <c r="AT130" i="4" s="1"/>
  <c r="AC111" i="4"/>
  <c r="AC112" i="4"/>
  <c r="AB112" i="4" s="1"/>
  <c r="AX112" i="4" s="1"/>
  <c r="CX133" i="4"/>
  <c r="AC117" i="4"/>
  <c r="AB117" i="4" s="1"/>
  <c r="AX117" i="4" s="1"/>
  <c r="BR19" i="4"/>
  <c r="AY19" i="4" s="1"/>
  <c r="AC19" i="4"/>
  <c r="AB19" i="4" s="1"/>
  <c r="AX19" i="4" s="1"/>
  <c r="BA7" i="4"/>
  <c r="CR7" i="4"/>
  <c r="AW20" i="4"/>
  <c r="Z20" i="4"/>
  <c r="AY48" i="4"/>
  <c r="BZ137" i="4"/>
  <c r="BT59" i="4"/>
  <c r="AY113" i="4"/>
  <c r="BT126" i="4"/>
  <c r="CT126" i="4"/>
  <c r="CP126" i="4" s="1"/>
  <c r="BF128" i="4"/>
  <c r="CP10" i="4"/>
  <c r="AY34" i="4"/>
  <c r="CP48" i="4"/>
  <c r="G52" i="4"/>
  <c r="AB52" i="4" s="1"/>
  <c r="AX52" i="4" s="1"/>
  <c r="BR52" i="4"/>
  <c r="AY52" i="4" s="1"/>
  <c r="CT5" i="4"/>
  <c r="CP5" i="4" s="1"/>
  <c r="AB24" i="4"/>
  <c r="AX24" i="4" s="1"/>
  <c r="BS33" i="4"/>
  <c r="CO33" i="4" s="1"/>
  <c r="DD35" i="4"/>
  <c r="BT47" i="4"/>
  <c r="DN47" i="4" s="1"/>
  <c r="BM55" i="4"/>
  <c r="AC55" i="4"/>
  <c r="AB55" i="4" s="1"/>
  <c r="AX55" i="4" s="1"/>
  <c r="DC108" i="4"/>
  <c r="AY99" i="4"/>
  <c r="AY53" i="4"/>
  <c r="BS61" i="4"/>
  <c r="Z91" i="4"/>
  <c r="BS97" i="4"/>
  <c r="BS116" i="4"/>
  <c r="CC130" i="4"/>
  <c r="AW136" i="4"/>
  <c r="AZ134" i="4"/>
  <c r="BS17" i="4"/>
  <c r="CO17" i="4" s="1"/>
  <c r="BT21" i="4"/>
  <c r="DN21" i="4" s="1"/>
  <c r="CV58" i="4"/>
  <c r="AY26" i="4"/>
  <c r="BH58" i="4"/>
  <c r="G30" i="4"/>
  <c r="AB30" i="4" s="1"/>
  <c r="AX30" i="4" s="1"/>
  <c r="AY30" i="4"/>
  <c r="AY33" i="4"/>
  <c r="BP135" i="4"/>
  <c r="DB37" i="4"/>
  <c r="CP37" i="4" s="1"/>
  <c r="AC41" i="4"/>
  <c r="G47" i="4"/>
  <c r="BS47" i="4" s="1"/>
  <c r="CO47" i="4" s="1"/>
  <c r="AC49" i="4"/>
  <c r="AB49" i="4" s="1"/>
  <c r="AX49" i="4" s="1"/>
  <c r="BT51" i="4"/>
  <c r="BT53" i="4"/>
  <c r="AC59" i="4"/>
  <c r="AB59" i="4" s="1"/>
  <c r="AX59" i="4" s="1"/>
  <c r="AC64" i="4"/>
  <c r="AB64" i="4" s="1"/>
  <c r="AX64" i="4" s="1"/>
  <c r="DI65" i="4"/>
  <c r="BP91" i="4"/>
  <c r="CP77" i="4"/>
  <c r="AY85" i="4"/>
  <c r="BT86" i="4"/>
  <c r="DI90" i="4"/>
  <c r="R91" i="4"/>
  <c r="R130" i="4" s="1"/>
  <c r="BN94" i="4"/>
  <c r="CP100" i="4"/>
  <c r="G104" i="4"/>
  <c r="CP106" i="4"/>
  <c r="BF132" i="4"/>
  <c r="DG132" i="4"/>
  <c r="AC114" i="4"/>
  <c r="BG133" i="4"/>
  <c r="CR119" i="4"/>
  <c r="CP119" i="4" s="1"/>
  <c r="CK139" i="4"/>
  <c r="CK141" i="4" s="1"/>
  <c r="CK142" i="4" s="1"/>
  <c r="U133" i="4"/>
  <c r="AU139" i="4"/>
  <c r="AU141" i="4" s="1"/>
  <c r="CP74" i="4"/>
  <c r="AB26" i="4"/>
  <c r="AX26" i="4" s="1"/>
  <c r="AB74" i="4"/>
  <c r="AX74" i="4" s="1"/>
  <c r="CA130" i="4"/>
  <c r="AY72" i="4"/>
  <c r="CZ108" i="4"/>
  <c r="DI73" i="4"/>
  <c r="CP73" i="4" s="1"/>
  <c r="BS44" i="4"/>
  <c r="CO44" i="4" s="1"/>
  <c r="CP46" i="4"/>
  <c r="AY70" i="4"/>
  <c r="CP75" i="4"/>
  <c r="BM119" i="4"/>
  <c r="BM133" i="4" s="1"/>
  <c r="CC139" i="4"/>
  <c r="CC141" i="4" s="1"/>
  <c r="BS4" i="4"/>
  <c r="CO4" i="4" s="1"/>
  <c r="BF136" i="4"/>
  <c r="BN135" i="4"/>
  <c r="CP4" i="4"/>
  <c r="CZ20" i="4"/>
  <c r="CQ134" i="4"/>
  <c r="AB12" i="4"/>
  <c r="AX12" i="4" s="1"/>
  <c r="AY16" i="4"/>
  <c r="CB130" i="4"/>
  <c r="BS28" i="4"/>
  <c r="CO28" i="4" s="1"/>
  <c r="BR38" i="4"/>
  <c r="Y58" i="4"/>
  <c r="AY60" i="4"/>
  <c r="AY67" i="4"/>
  <c r="BS70" i="4"/>
  <c r="CP80" i="4"/>
  <c r="DH91" i="4"/>
  <c r="L91" i="4"/>
  <c r="DE95" i="4"/>
  <c r="CP95" i="4" s="1"/>
  <c r="CP98" i="4"/>
  <c r="CP105" i="4"/>
  <c r="BA110" i="4"/>
  <c r="CE132" i="4"/>
  <c r="CE139" i="4" s="1"/>
  <c r="CE141" i="4" s="1"/>
  <c r="BN133" i="4"/>
  <c r="AY114" i="4"/>
  <c r="CP124" i="4"/>
  <c r="CD139" i="4"/>
  <c r="CD141" i="4" s="1"/>
  <c r="CP44" i="4"/>
  <c r="AB97" i="4"/>
  <c r="AX97" i="4" s="1"/>
  <c r="DE98" i="4"/>
  <c r="AK141" i="4"/>
  <c r="DE58" i="4"/>
  <c r="BQ39" i="4"/>
  <c r="BQ135" i="4" s="1"/>
  <c r="CP51" i="4"/>
  <c r="BR73" i="4"/>
  <c r="AY73" i="4" s="1"/>
  <c r="DI117" i="4"/>
  <c r="CP117" i="4" s="1"/>
  <c r="U128" i="4"/>
  <c r="I134" i="4"/>
  <c r="BD134" i="4"/>
  <c r="BL134" i="4"/>
  <c r="G9" i="4"/>
  <c r="BE20" i="4"/>
  <c r="BL58" i="4"/>
  <c r="AY28" i="4"/>
  <c r="AB43" i="4"/>
  <c r="AX43" i="4" s="1"/>
  <c r="BR57" i="4"/>
  <c r="AY57" i="4" s="1"/>
  <c r="AB62" i="4"/>
  <c r="AX62" i="4" s="1"/>
  <c r="DA64" i="4"/>
  <c r="DA137" i="4" s="1"/>
  <c r="BS69" i="4"/>
  <c r="CO69" i="4" s="1"/>
  <c r="CT77" i="4"/>
  <c r="AB99" i="4"/>
  <c r="AX99" i="4" s="1"/>
  <c r="CP101" i="4"/>
  <c r="P139" i="4"/>
  <c r="P141" i="4" s="1"/>
  <c r="CZ111" i="4"/>
  <c r="BF133" i="4"/>
  <c r="AY126" i="4"/>
  <c r="BU139" i="4"/>
  <c r="BU141" i="4" s="1"/>
  <c r="AW108" i="4"/>
  <c r="CN52" i="3"/>
  <c r="BT52" i="3" s="1"/>
  <c r="BS52" i="3" s="1"/>
  <c r="CO52" i="3" s="1"/>
  <c r="BS29" i="4"/>
  <c r="CO29" i="4" s="1"/>
  <c r="BT48" i="4"/>
  <c r="DN48" i="4" s="1"/>
  <c r="BT48" i="3"/>
  <c r="BS48" i="3" s="1"/>
  <c r="CO48" i="3" s="1"/>
  <c r="BT78" i="3"/>
  <c r="BS78" i="3" s="1"/>
  <c r="CO78" i="3" s="1"/>
  <c r="AC100" i="3"/>
  <c r="AB100" i="3" s="1"/>
  <c r="AX100" i="3" s="1"/>
  <c r="AC110" i="3"/>
  <c r="BS25" i="4"/>
  <c r="CO25" i="4" s="1"/>
  <c r="BM25" i="4"/>
  <c r="AY25" i="4" s="1"/>
  <c r="AC32" i="4"/>
  <c r="AB32" i="4" s="1"/>
  <c r="AX32" i="4" s="1"/>
  <c r="AY42" i="4"/>
  <c r="DD43" i="4"/>
  <c r="AC45" i="4"/>
  <c r="AB45" i="4" s="1"/>
  <c r="AX45" i="4" s="1"/>
  <c r="AC54" i="4"/>
  <c r="AB54" i="4" s="1"/>
  <c r="AX54" i="4" s="1"/>
  <c r="BT57" i="4"/>
  <c r="AC66" i="4"/>
  <c r="AB66" i="4" s="1"/>
  <c r="AX66" i="4" s="1"/>
  <c r="CZ110" i="4"/>
  <c r="CZ132" i="4" s="1"/>
  <c r="BR116" i="4"/>
  <c r="AY116" i="4" s="1"/>
  <c r="AC125" i="4"/>
  <c r="AC126" i="4"/>
  <c r="AB126" i="4" s="1"/>
  <c r="AX126" i="4" s="1"/>
  <c r="CJ139" i="4"/>
  <c r="AU128" i="4"/>
  <c r="AU130" i="4" s="1"/>
  <c r="BC63" i="3"/>
  <c r="CP24" i="4"/>
  <c r="AY45" i="4"/>
  <c r="BP121" i="4"/>
  <c r="BP138" i="4" s="1"/>
  <c r="BT66" i="3"/>
  <c r="CT125" i="3"/>
  <c r="CP125" i="3" s="1"/>
  <c r="DI31" i="4"/>
  <c r="CP31" i="4" s="1"/>
  <c r="AY44" i="4"/>
  <c r="BT45" i="4"/>
  <c r="CN91" i="4"/>
  <c r="BT66" i="4"/>
  <c r="CT70" i="4"/>
  <c r="CP70" i="4" s="1"/>
  <c r="CP72" i="4"/>
  <c r="AY83" i="4"/>
  <c r="BN104" i="4"/>
  <c r="AG132" i="4"/>
  <c r="AG139" i="4" s="1"/>
  <c r="AG141" i="4" s="1"/>
  <c r="AW133" i="4"/>
  <c r="AW140" i="4"/>
  <c r="DE97" i="4"/>
  <c r="CP97" i="4" s="1"/>
  <c r="AC25" i="3"/>
  <c r="AB25" i="3" s="1"/>
  <c r="AX25" i="3" s="1"/>
  <c r="DI57" i="3"/>
  <c r="CP57" i="3" s="1"/>
  <c r="DI103" i="3"/>
  <c r="DI60" i="4"/>
  <c r="CP60" i="4" s="1"/>
  <c r="AC103" i="4"/>
  <c r="AN128" i="4"/>
  <c r="AN130" i="4" s="1"/>
  <c r="BI112" i="4"/>
  <c r="BI133" i="4" s="1"/>
  <c r="AY6" i="4"/>
  <c r="BC87" i="4"/>
  <c r="AY87" i="4" s="1"/>
  <c r="BR65" i="3"/>
  <c r="AY65" i="3" s="1"/>
  <c r="AC125" i="3"/>
  <c r="AB125" i="3" s="1"/>
  <c r="AX125" i="3" s="1"/>
  <c r="BC12" i="4"/>
  <c r="AY12" i="4" s="1"/>
  <c r="CT17" i="4"/>
  <c r="CP17" i="4" s="1"/>
  <c r="CP36" i="4"/>
  <c r="BT38" i="4"/>
  <c r="CP54" i="4"/>
  <c r="CP65" i="4"/>
  <c r="CP66" i="4"/>
  <c r="CT78" i="4"/>
  <c r="CP78" i="4" s="1"/>
  <c r="AY89" i="4"/>
  <c r="BT114" i="4"/>
  <c r="AB17" i="4"/>
  <c r="AX17" i="4" s="1"/>
  <c r="CV20" i="4"/>
  <c r="DD20" i="4"/>
  <c r="G7" i="4"/>
  <c r="BS7" i="4" s="1"/>
  <c r="CO7" i="4" s="1"/>
  <c r="CR11" i="4"/>
  <c r="CP11" i="4" s="1"/>
  <c r="BT11" i="4"/>
  <c r="AH20" i="4"/>
  <c r="CQ20" i="4"/>
  <c r="BI135" i="4"/>
  <c r="CW58" i="4"/>
  <c r="AC38" i="4"/>
  <c r="CP38" i="4"/>
  <c r="DB39" i="4"/>
  <c r="DB135" i="4" s="1"/>
  <c r="BT39" i="4"/>
  <c r="DN39" i="4" s="1"/>
  <c r="BJ41" i="4"/>
  <c r="AY41" i="4" s="1"/>
  <c r="AB44" i="4"/>
  <c r="AX44" i="4" s="1"/>
  <c r="AY49" i="4"/>
  <c r="BG137" i="4"/>
  <c r="BQ137" i="4"/>
  <c r="BQ91" i="4"/>
  <c r="CW91" i="4"/>
  <c r="BC71" i="4"/>
  <c r="BD140" i="4"/>
  <c r="BD108" i="4"/>
  <c r="BL140" i="4"/>
  <c r="BL108" i="4"/>
  <c r="CW136" i="4"/>
  <c r="CW20" i="4"/>
  <c r="DE136" i="4"/>
  <c r="DE20" i="4"/>
  <c r="AF134" i="4"/>
  <c r="AF20" i="4"/>
  <c r="AI136" i="4"/>
  <c r="AI20" i="4"/>
  <c r="AC13" i="4"/>
  <c r="BC17" i="4"/>
  <c r="AY17" i="4" s="1"/>
  <c r="BF20" i="4"/>
  <c r="CX58" i="4"/>
  <c r="DD32" i="4"/>
  <c r="BT32" i="4"/>
  <c r="DN32" i="4" s="1"/>
  <c r="CP34" i="4"/>
  <c r="CM135" i="4"/>
  <c r="CM139" i="4" s="1"/>
  <c r="CM141" i="4" s="1"/>
  <c r="CM58" i="4"/>
  <c r="DH39" i="4"/>
  <c r="DH58" i="4" s="1"/>
  <c r="DH130" i="4" s="1"/>
  <c r="DI40" i="4"/>
  <c r="CF135" i="4"/>
  <c r="BT41" i="4"/>
  <c r="DN41" i="4" s="1"/>
  <c r="CF58" i="4"/>
  <c r="CF130" i="4" s="1"/>
  <c r="CP45" i="4"/>
  <c r="L135" i="4"/>
  <c r="L58" i="4"/>
  <c r="L130" i="4" s="1"/>
  <c r="BI58" i="4"/>
  <c r="BC79" i="4"/>
  <c r="AY79" i="4" s="1"/>
  <c r="AC79" i="4"/>
  <c r="BC80" i="4"/>
  <c r="AY80" i="4" s="1"/>
  <c r="AC80" i="4"/>
  <c r="AC90" i="4"/>
  <c r="BR90" i="4"/>
  <c r="AY90" i="4" s="1"/>
  <c r="BE136" i="4"/>
  <c r="BM136" i="4"/>
  <c r="BM20" i="4"/>
  <c r="CX136" i="4"/>
  <c r="CX20" i="4"/>
  <c r="DG136" i="4"/>
  <c r="DG20" i="4"/>
  <c r="DI7" i="4"/>
  <c r="BO134" i="4"/>
  <c r="BN134" i="4"/>
  <c r="CU134" i="4"/>
  <c r="DC134" i="4"/>
  <c r="BY9" i="4"/>
  <c r="CT9" i="4" s="1"/>
  <c r="AY10" i="4"/>
  <c r="BT12" i="4"/>
  <c r="AQ136" i="4"/>
  <c r="AQ20" i="4"/>
  <c r="BD13" i="4"/>
  <c r="BD20" i="4" s="1"/>
  <c r="BL13" i="4"/>
  <c r="BL136" i="4" s="1"/>
  <c r="BC15" i="4"/>
  <c r="AC15" i="4"/>
  <c r="AB16" i="4"/>
  <c r="AX16" i="4" s="1"/>
  <c r="CP19" i="4"/>
  <c r="CQ135" i="4"/>
  <c r="CQ58" i="4"/>
  <c r="CP21" i="4"/>
  <c r="CY135" i="4"/>
  <c r="CY58" i="4"/>
  <c r="AY22" i="4"/>
  <c r="DD28" i="4"/>
  <c r="CP28" i="4" s="1"/>
  <c r="Z58" i="4"/>
  <c r="G40" i="4"/>
  <c r="AB40" i="4" s="1"/>
  <c r="AX40" i="4" s="1"/>
  <c r="BS43" i="4"/>
  <c r="CO43" i="4" s="1"/>
  <c r="AY51" i="4"/>
  <c r="AB57" i="4"/>
  <c r="AX57" i="4" s="1"/>
  <c r="AC68" i="4"/>
  <c r="BR68" i="4"/>
  <c r="AY68" i="4" s="1"/>
  <c r="G71" i="4"/>
  <c r="CS140" i="4"/>
  <c r="CS108" i="4"/>
  <c r="CP93" i="4"/>
  <c r="DA108" i="4"/>
  <c r="DA140" i="4"/>
  <c r="CV132" i="4"/>
  <c r="BS112" i="4"/>
  <c r="AE139" i="4"/>
  <c r="R135" i="4"/>
  <c r="R139" i="4" s="1"/>
  <c r="R141" i="4" s="1"/>
  <c r="DA41" i="4"/>
  <c r="CP41" i="4" s="1"/>
  <c r="G41" i="4"/>
  <c r="BN20" i="4"/>
  <c r="AY38" i="4"/>
  <c r="CP47" i="4"/>
  <c r="CX137" i="4"/>
  <c r="CX91" i="4"/>
  <c r="AY78" i="4"/>
  <c r="BH140" i="4"/>
  <c r="BH108" i="4"/>
  <c r="AY106" i="4"/>
  <c r="AZ136" i="4"/>
  <c r="AY4" i="4"/>
  <c r="BH136" i="4"/>
  <c r="BH20" i="4"/>
  <c r="BQ136" i="4"/>
  <c r="CS136" i="4"/>
  <c r="DA136" i="4"/>
  <c r="DA20" i="4"/>
  <c r="BT6" i="4"/>
  <c r="CT6" i="4"/>
  <c r="BW134" i="4"/>
  <c r="BW20" i="4"/>
  <c r="BT8" i="4"/>
  <c r="CX134" i="4"/>
  <c r="DG134" i="4"/>
  <c r="CP12" i="4"/>
  <c r="AB14" i="4"/>
  <c r="AX14" i="4" s="1"/>
  <c r="CP14" i="4"/>
  <c r="CG136" i="4"/>
  <c r="DB15" i="4"/>
  <c r="CP15" i="4" s="1"/>
  <c r="BT15" i="4"/>
  <c r="AB18" i="4"/>
  <c r="AX18" i="4" s="1"/>
  <c r="BQ20" i="4"/>
  <c r="AF135" i="4"/>
  <c r="AC21" i="4"/>
  <c r="AF58" i="4"/>
  <c r="BF135" i="4"/>
  <c r="BF58" i="4"/>
  <c r="BN58" i="4"/>
  <c r="CT135" i="4"/>
  <c r="CT58" i="4"/>
  <c r="CP22" i="4"/>
  <c r="CI135" i="4"/>
  <c r="CI139" i="4" s="1"/>
  <c r="BT24" i="4"/>
  <c r="DN24" i="4" s="1"/>
  <c r="CI58" i="4"/>
  <c r="G27" i="4"/>
  <c r="BM27" i="4"/>
  <c r="AY27" i="4" s="1"/>
  <c r="CP33" i="4"/>
  <c r="AV135" i="4"/>
  <c r="AV139" i="4" s="1"/>
  <c r="AV141" i="4" s="1"/>
  <c r="AC39" i="4"/>
  <c r="AY54" i="4"/>
  <c r="BT54" i="4"/>
  <c r="DN54" i="4" s="1"/>
  <c r="CY137" i="4"/>
  <c r="CY91" i="4"/>
  <c r="DH137" i="4"/>
  <c r="DD91" i="4"/>
  <c r="AC76" i="4"/>
  <c r="BC76" i="4"/>
  <c r="AY76" i="4" s="1"/>
  <c r="CP84" i="4"/>
  <c r="CU128" i="4"/>
  <c r="AP136" i="4"/>
  <c r="BK15" i="4"/>
  <c r="BK20" i="4" s="1"/>
  <c r="CZ135" i="4"/>
  <c r="CZ58" i="4"/>
  <c r="AB89" i="4"/>
  <c r="AX89" i="4" s="1"/>
  <c r="BG132" i="4"/>
  <c r="BG128" i="4"/>
  <c r="CZ136" i="4"/>
  <c r="Z134" i="4"/>
  <c r="DI9" i="4"/>
  <c r="DI134" i="4" s="1"/>
  <c r="BS16" i="4"/>
  <c r="CO16" i="4" s="1"/>
  <c r="BE135" i="4"/>
  <c r="BE58" i="4"/>
  <c r="AY56" i="4"/>
  <c r="BB137" i="4"/>
  <c r="BB91" i="4"/>
  <c r="AB73" i="4"/>
  <c r="AX73" i="4" s="1"/>
  <c r="BI136" i="4"/>
  <c r="I136" i="4"/>
  <c r="G5" i="4"/>
  <c r="BS5" i="4" s="1"/>
  <c r="CO5" i="4" s="1"/>
  <c r="I20" i="4"/>
  <c r="BA5" i="4"/>
  <c r="AY5" i="4" s="1"/>
  <c r="CY134" i="4"/>
  <c r="DH134" i="4"/>
  <c r="AY11" i="4"/>
  <c r="BT13" i="4"/>
  <c r="CT13" i="4"/>
  <c r="CT18" i="4"/>
  <c r="CP18" i="4" s="1"/>
  <c r="AZ20" i="4"/>
  <c r="CU135" i="4"/>
  <c r="CU58" i="4"/>
  <c r="DC135" i="4"/>
  <c r="DC58" i="4"/>
  <c r="BB58" i="4"/>
  <c r="W135" i="4"/>
  <c r="W139" i="4" s="1"/>
  <c r="W141" i="4" s="1"/>
  <c r="W58" i="4"/>
  <c r="W130" i="4" s="1"/>
  <c r="DF32" i="4"/>
  <c r="AB33" i="4"/>
  <c r="AX33" i="4" s="1"/>
  <c r="CP35" i="4"/>
  <c r="AB37" i="4"/>
  <c r="AX37" i="4" s="1"/>
  <c r="AY40" i="4"/>
  <c r="CP43" i="4"/>
  <c r="AY46" i="4"/>
  <c r="AY55" i="4"/>
  <c r="AV58" i="4"/>
  <c r="AV130" i="4" s="1"/>
  <c r="CG58" i="4"/>
  <c r="CG137" i="4"/>
  <c r="CG91" i="4"/>
  <c r="BT62" i="4"/>
  <c r="DN62" i="4" s="1"/>
  <c r="AB67" i="4"/>
  <c r="AX67" i="4" s="1"/>
  <c r="AC81" i="4"/>
  <c r="BC81" i="4"/>
  <c r="AY81" i="4" s="1"/>
  <c r="CW140" i="4"/>
  <c r="CW108" i="4"/>
  <c r="BS100" i="4"/>
  <c r="AB124" i="4"/>
  <c r="AX124" i="4" s="1"/>
  <c r="AB4" i="4"/>
  <c r="AX4" i="4" s="1"/>
  <c r="BC9" i="4"/>
  <c r="AY9" i="4" s="1"/>
  <c r="AB31" i="4"/>
  <c r="AX31" i="4" s="1"/>
  <c r="DD42" i="4"/>
  <c r="CP42" i="4" s="1"/>
  <c r="G42" i="4"/>
  <c r="AB42" i="4" s="1"/>
  <c r="AX42" i="4" s="1"/>
  <c r="AC61" i="4"/>
  <c r="BR61" i="4"/>
  <c r="AY61" i="4" s="1"/>
  <c r="BS78" i="4"/>
  <c r="DB83" i="4"/>
  <c r="BT83" i="4"/>
  <c r="DN83" i="4" s="1"/>
  <c r="AS108" i="4"/>
  <c r="AS130" i="4" s="1"/>
  <c r="AS140" i="4"/>
  <c r="BN93" i="4"/>
  <c r="AC93" i="4"/>
  <c r="CI140" i="4"/>
  <c r="CI108" i="4"/>
  <c r="BT107" i="4"/>
  <c r="DN107" i="4" s="1"/>
  <c r="BR132" i="4"/>
  <c r="DG137" i="4"/>
  <c r="DG91" i="4"/>
  <c r="CV91" i="4"/>
  <c r="AZ140" i="4"/>
  <c r="AZ108" i="4"/>
  <c r="AY93" i="4"/>
  <c r="BT102" i="4"/>
  <c r="DN102" i="4" s="1"/>
  <c r="DE102" i="4"/>
  <c r="CP102" i="4" s="1"/>
  <c r="K136" i="4"/>
  <c r="BR7" i="4"/>
  <c r="BK134" i="4"/>
  <c r="AC10" i="4"/>
  <c r="BZ136" i="4"/>
  <c r="BZ20" i="4"/>
  <c r="CU13" i="4"/>
  <c r="CU20" i="4" s="1"/>
  <c r="DI16" i="4"/>
  <c r="CP16" i="4" s="1"/>
  <c r="AY18" i="4"/>
  <c r="K20" i="4"/>
  <c r="AP20" i="4"/>
  <c r="AZ135" i="4"/>
  <c r="AY21" i="4"/>
  <c r="BH135" i="4"/>
  <c r="BS21" i="4"/>
  <c r="CO21" i="4" s="1"/>
  <c r="BR31" i="4"/>
  <c r="AY31" i="4" s="1"/>
  <c r="BO32" i="4"/>
  <c r="AP135" i="4"/>
  <c r="BK37" i="4"/>
  <c r="AY37" i="4" s="1"/>
  <c r="AP58" i="4"/>
  <c r="AY47" i="4"/>
  <c r="DD50" i="4"/>
  <c r="CP50" i="4" s="1"/>
  <c r="CP53" i="4"/>
  <c r="AZ58" i="4"/>
  <c r="BF137" i="4"/>
  <c r="BF91" i="4"/>
  <c r="BN136" i="4"/>
  <c r="BN91" i="4"/>
  <c r="CP62" i="4"/>
  <c r="AB82" i="4"/>
  <c r="AX82" i="4" s="1"/>
  <c r="AC88" i="4"/>
  <c r="BC88" i="4"/>
  <c r="AY88" i="4" s="1"/>
  <c r="BG91" i="4"/>
  <c r="DI110" i="4"/>
  <c r="DI132" i="4" s="1"/>
  <c r="BR110" i="4"/>
  <c r="G110" i="4"/>
  <c r="CH138" i="4"/>
  <c r="CH128" i="4"/>
  <c r="BT121" i="4"/>
  <c r="DN121" i="4" s="1"/>
  <c r="CP83" i="4"/>
  <c r="AC86" i="4"/>
  <c r="BC86" i="4"/>
  <c r="AY86" i="4" s="1"/>
  <c r="BE140" i="4"/>
  <c r="BE108" i="4"/>
  <c r="CX108" i="4"/>
  <c r="CX140" i="4"/>
  <c r="DG140" i="4"/>
  <c r="DG108" i="4"/>
  <c r="BN101" i="4"/>
  <c r="AY101" i="4" s="1"/>
  <c r="AC101" i="4"/>
  <c r="I140" i="4"/>
  <c r="G107" i="4"/>
  <c r="CR107" i="4"/>
  <c r="CR108" i="4" s="1"/>
  <c r="BA107" i="4"/>
  <c r="BC132" i="4"/>
  <c r="BN128" i="4"/>
  <c r="BR127" i="4"/>
  <c r="BR134" i="4" s="1"/>
  <c r="G127" i="4"/>
  <c r="BG136" i="4"/>
  <c r="BG20" i="4"/>
  <c r="BP136" i="4"/>
  <c r="BP20" i="4"/>
  <c r="CQ136" i="4"/>
  <c r="CY136" i="4"/>
  <c r="DH136" i="4"/>
  <c r="Z136" i="4"/>
  <c r="AH134" i="4"/>
  <c r="BE134" i="4"/>
  <c r="BM134" i="4"/>
  <c r="CW134" i="4"/>
  <c r="DE134" i="4"/>
  <c r="DC13" i="4"/>
  <c r="DC20" i="4" s="1"/>
  <c r="CH20" i="4"/>
  <c r="BG135" i="4"/>
  <c r="BG58" i="4"/>
  <c r="CS135" i="4"/>
  <c r="CS58" i="4"/>
  <c r="DA58" i="4"/>
  <c r="BM35" i="4"/>
  <c r="AY35" i="4" s="1"/>
  <c r="G35" i="4"/>
  <c r="CQ137" i="4"/>
  <c r="CQ91" i="4"/>
  <c r="BS60" i="4"/>
  <c r="AO137" i="4"/>
  <c r="AO139" i="4" s="1"/>
  <c r="AO141" i="4" s="1"/>
  <c r="AO91" i="4"/>
  <c r="AO130" i="4" s="1"/>
  <c r="CP68" i="4"/>
  <c r="CP81" i="4"/>
  <c r="AB83" i="4"/>
  <c r="AX83" i="4" s="1"/>
  <c r="AB87" i="4"/>
  <c r="AX87" i="4" s="1"/>
  <c r="BF140" i="4"/>
  <c r="BF108" i="4"/>
  <c r="CQ140" i="4"/>
  <c r="CQ108" i="4"/>
  <c r="CY140" i="4"/>
  <c r="CY108" i="4"/>
  <c r="DH140" i="4"/>
  <c r="DH108" i="4"/>
  <c r="BM107" i="4"/>
  <c r="BM140" i="4" s="1"/>
  <c r="U108" i="4"/>
  <c r="BD132" i="4"/>
  <c r="BD128" i="4"/>
  <c r="BQ132" i="4"/>
  <c r="BQ128" i="4"/>
  <c r="DG133" i="4"/>
  <c r="BS125" i="4"/>
  <c r="BB136" i="4"/>
  <c r="BJ136" i="4"/>
  <c r="AH136" i="4"/>
  <c r="CN136" i="4"/>
  <c r="BH134" i="4"/>
  <c r="CR8" i="4"/>
  <c r="CZ134" i="4"/>
  <c r="BR13" i="4"/>
  <c r="AJ130" i="4"/>
  <c r="BB20" i="4"/>
  <c r="I135" i="4"/>
  <c r="I58" i="4"/>
  <c r="BA23" i="4"/>
  <c r="BA135" i="4" s="1"/>
  <c r="G23" i="4"/>
  <c r="AR135" i="4"/>
  <c r="AR139" i="4" s="1"/>
  <c r="BM24" i="4"/>
  <c r="AY24" i="4" s="1"/>
  <c r="BT30" i="4"/>
  <c r="DN30" i="4" s="1"/>
  <c r="AC34" i="4"/>
  <c r="BH137" i="4"/>
  <c r="BH91" i="4"/>
  <c r="CR91" i="4"/>
  <c r="CZ91" i="4"/>
  <c r="BP137" i="4"/>
  <c r="K137" i="4"/>
  <c r="K91" i="4"/>
  <c r="BC63" i="4"/>
  <c r="CT63" i="4"/>
  <c r="G63" i="4"/>
  <c r="G137" i="4" s="1"/>
  <c r="BS65" i="4"/>
  <c r="AB71" i="4"/>
  <c r="AX71" i="4" s="1"/>
  <c r="AB84" i="4"/>
  <c r="AX84" i="4" s="1"/>
  <c r="AB85" i="4"/>
  <c r="AX85" i="4" s="1"/>
  <c r="BT87" i="4"/>
  <c r="DN87" i="4" s="1"/>
  <c r="BT88" i="4"/>
  <c r="DN88" i="4" s="1"/>
  <c r="CT88" i="4"/>
  <c r="CP88" i="4" s="1"/>
  <c r="CP90" i="4"/>
  <c r="AY94" i="4"/>
  <c r="Z128" i="4"/>
  <c r="Z132" i="4"/>
  <c r="BJ128" i="4"/>
  <c r="BI111" i="4"/>
  <c r="CN115" i="4"/>
  <c r="DI115" i="4" s="1"/>
  <c r="CP115" i="4" s="1"/>
  <c r="BL121" i="4"/>
  <c r="BL128" i="4" s="1"/>
  <c r="AQ138" i="4"/>
  <c r="AC138" i="4" s="1"/>
  <c r="AQ128" i="4"/>
  <c r="AC121" i="4"/>
  <c r="AH128" i="4"/>
  <c r="AC122" i="4"/>
  <c r="BC122" i="4"/>
  <c r="AY122" i="4" s="1"/>
  <c r="K134" i="4"/>
  <c r="BA8" i="4"/>
  <c r="BI134" i="4"/>
  <c r="CS134" i="4"/>
  <c r="DA134" i="4"/>
  <c r="CD130" i="4"/>
  <c r="CM130" i="4"/>
  <c r="BC135" i="4"/>
  <c r="BC58" i="4"/>
  <c r="BK58" i="4"/>
  <c r="CW135" i="4"/>
  <c r="DE135" i="4"/>
  <c r="AY50" i="4"/>
  <c r="BS55" i="4"/>
  <c r="CO55" i="4" s="1"/>
  <c r="AI135" i="4"/>
  <c r="AI58" i="4"/>
  <c r="AC56" i="4"/>
  <c r="CP56" i="4"/>
  <c r="L137" i="4"/>
  <c r="BD59" i="4"/>
  <c r="AY59" i="4" s="1"/>
  <c r="CU59" i="4"/>
  <c r="AZ137" i="4"/>
  <c r="AZ91" i="4"/>
  <c r="CP69" i="4"/>
  <c r="AY71" i="4"/>
  <c r="AY74" i="4"/>
  <c r="BS80" i="4"/>
  <c r="CP82" i="4"/>
  <c r="AY84" i="4"/>
  <c r="AB94" i="4"/>
  <c r="AX94" i="4" s="1"/>
  <c r="I108" i="4"/>
  <c r="BT111" i="4"/>
  <c r="DN111" i="4" s="1"/>
  <c r="CS111" i="4"/>
  <c r="CT133" i="4"/>
  <c r="BD136" i="4"/>
  <c r="BY136" i="4"/>
  <c r="CV136" i="4"/>
  <c r="DD136" i="4"/>
  <c r="BB134" i="4"/>
  <c r="BJ134" i="4"/>
  <c r="CT8" i="4"/>
  <c r="DB134" i="4"/>
  <c r="AL130" i="4"/>
  <c r="CN20" i="4"/>
  <c r="BD135" i="4"/>
  <c r="BL135" i="4"/>
  <c r="CX135" i="4"/>
  <c r="DG135" i="4"/>
  <c r="DG58" i="4"/>
  <c r="CR23" i="4"/>
  <c r="CP23" i="4" s="1"/>
  <c r="DD25" i="4"/>
  <c r="CP25" i="4" s="1"/>
  <c r="U135" i="4"/>
  <c r="DD26" i="4"/>
  <c r="U58" i="4"/>
  <c r="DD29" i="4"/>
  <c r="CP29" i="4" s="1"/>
  <c r="Z135" i="4"/>
  <c r="DI30" i="4"/>
  <c r="CP30" i="4" s="1"/>
  <c r="CP40" i="4"/>
  <c r="BM43" i="4"/>
  <c r="AY43" i="4" s="1"/>
  <c r="AB51" i="4"/>
  <c r="AX51" i="4" s="1"/>
  <c r="CN52" i="4"/>
  <c r="BT52" i="4" s="1"/>
  <c r="DN52" i="4" s="1"/>
  <c r="CP57" i="4"/>
  <c r="AR58" i="4"/>
  <c r="AR130" i="4" s="1"/>
  <c r="BD58" i="4"/>
  <c r="DE91" i="4"/>
  <c r="CP61" i="4"/>
  <c r="AH137" i="4"/>
  <c r="AC63" i="4"/>
  <c r="AH91" i="4"/>
  <c r="CP67" i="4"/>
  <c r="BS71" i="4"/>
  <c r="CO71" i="4" s="1"/>
  <c r="CP79" i="4"/>
  <c r="BS84" i="4"/>
  <c r="CO84" i="4" s="1"/>
  <c r="CP87" i="4"/>
  <c r="AB95" i="4"/>
  <c r="AX95" i="4" s="1"/>
  <c r="AB100" i="4"/>
  <c r="AX100" i="4" s="1"/>
  <c r="BN100" i="4"/>
  <c r="AY100" i="4" s="1"/>
  <c r="G111" i="4"/>
  <c r="BS119" i="4"/>
  <c r="AW135" i="4"/>
  <c r="Z137" i="4"/>
  <c r="DI59" i="4"/>
  <c r="BA137" i="4"/>
  <c r="BA91" i="4"/>
  <c r="BI137" i="4"/>
  <c r="BI91" i="4"/>
  <c r="CS137" i="4"/>
  <c r="CS91" i="4"/>
  <c r="DA91" i="4"/>
  <c r="AY66" i="4"/>
  <c r="BG108" i="4"/>
  <c r="BQ108" i="4"/>
  <c r="CP99" i="4"/>
  <c r="Q132" i="4"/>
  <c r="Q139" i="4" s="1"/>
  <c r="Q141" i="4" s="1"/>
  <c r="Q128" i="4"/>
  <c r="Q130" i="4" s="1"/>
  <c r="BI109" i="4"/>
  <c r="BH128" i="4"/>
  <c r="BH132" i="4"/>
  <c r="DH132" i="4"/>
  <c r="CS133" i="4"/>
  <c r="DA133" i="4"/>
  <c r="AY125" i="4"/>
  <c r="BV139" i="4"/>
  <c r="AW58" i="4"/>
  <c r="DC137" i="4"/>
  <c r="S137" i="4"/>
  <c r="S139" i="4" s="1"/>
  <c r="S141" i="4" s="1"/>
  <c r="S91" i="4"/>
  <c r="S130" i="4" s="1"/>
  <c r="BK63" i="4"/>
  <c r="AP91" i="4"/>
  <c r="BI140" i="4"/>
  <c r="CT140" i="4"/>
  <c r="DB140" i="4"/>
  <c r="DB108" i="4"/>
  <c r="BS94" i="4"/>
  <c r="BN97" i="4"/>
  <c r="AY97" i="4" s="1"/>
  <c r="AF140" i="4"/>
  <c r="BA104" i="4"/>
  <c r="AF128" i="4"/>
  <c r="AC109" i="4"/>
  <c r="CQ132" i="4"/>
  <c r="CQ128" i="4"/>
  <c r="I133" i="4"/>
  <c r="CR112" i="4"/>
  <c r="CP114" i="4"/>
  <c r="AY117" i="4"/>
  <c r="AB119" i="4"/>
  <c r="AX119" i="4" s="1"/>
  <c r="AP133" i="4"/>
  <c r="AP128" i="4"/>
  <c r="BK120" i="4"/>
  <c r="AY120" i="4" s="1"/>
  <c r="AC120" i="4"/>
  <c r="BT122" i="4"/>
  <c r="DN122" i="4" s="1"/>
  <c r="CT122" i="4"/>
  <c r="CP122" i="4" s="1"/>
  <c r="BY128" i="4"/>
  <c r="AG128" i="4"/>
  <c r="AG130" i="4" s="1"/>
  <c r="H130" i="4"/>
  <c r="Y130" i="4"/>
  <c r="BB135" i="4"/>
  <c r="BW135" i="4"/>
  <c r="CV135" i="4"/>
  <c r="AC36" i="4"/>
  <c r="G50" i="4"/>
  <c r="BS50" i="4" s="1"/>
  <c r="CO50" i="4" s="1"/>
  <c r="BL137" i="4"/>
  <c r="BL91" i="4"/>
  <c r="CN137" i="4"/>
  <c r="CV137" i="4"/>
  <c r="DD137" i="4"/>
  <c r="BC64" i="4"/>
  <c r="BJ64" i="4"/>
  <c r="BJ91" i="4" s="1"/>
  <c r="AB69" i="4"/>
  <c r="AX69" i="4" s="1"/>
  <c r="BT72" i="4"/>
  <c r="DN72" i="4" s="1"/>
  <c r="BS75" i="4"/>
  <c r="CO75" i="4" s="1"/>
  <c r="BS85" i="4"/>
  <c r="CO85" i="4" s="1"/>
  <c r="DE94" i="4"/>
  <c r="CP94" i="4" s="1"/>
  <c r="AY95" i="4"/>
  <c r="BS95" i="4"/>
  <c r="G103" i="4"/>
  <c r="BN103" i="4"/>
  <c r="AY103" i="4" s="1"/>
  <c r="DE103" i="4"/>
  <c r="CP103" i="4" s="1"/>
  <c r="AH140" i="4"/>
  <c r="AH108" i="4"/>
  <c r="BC104" i="4"/>
  <c r="BC140" i="4" s="1"/>
  <c r="AB105" i="4"/>
  <c r="AX105" i="4" s="1"/>
  <c r="BN105" i="4"/>
  <c r="AY105" i="4" s="1"/>
  <c r="V108" i="4"/>
  <c r="V130" i="4" s="1"/>
  <c r="CT108" i="4"/>
  <c r="G109" i="4"/>
  <c r="BA109" i="4"/>
  <c r="I132" i="4"/>
  <c r="AW132" i="4"/>
  <c r="AW128" i="4"/>
  <c r="BW109" i="4"/>
  <c r="CR109" i="4" s="1"/>
  <c r="BL132" i="4"/>
  <c r="CR110" i="4"/>
  <c r="BT110" i="4"/>
  <c r="DN110" i="4" s="1"/>
  <c r="BA112" i="4"/>
  <c r="BA133" i="4" s="1"/>
  <c r="CV133" i="4"/>
  <c r="AC113" i="4"/>
  <c r="AF133" i="4"/>
  <c r="BS117" i="4"/>
  <c r="CP125" i="4"/>
  <c r="AN132" i="4"/>
  <c r="CG135" i="4"/>
  <c r="BW58" i="4"/>
  <c r="AW137" i="4"/>
  <c r="AW91" i="4"/>
  <c r="BE137" i="4"/>
  <c r="BE91" i="4"/>
  <c r="BM137" i="4"/>
  <c r="BM91" i="4"/>
  <c r="CW137" i="4"/>
  <c r="DE137" i="4"/>
  <c r="AP137" i="4"/>
  <c r="BK62" i="4"/>
  <c r="CF137" i="4"/>
  <c r="BY64" i="4"/>
  <c r="BY91" i="4" s="1"/>
  <c r="BR65" i="4"/>
  <c r="AY65" i="4" s="1"/>
  <c r="CP86" i="4"/>
  <c r="AI91" i="4"/>
  <c r="BZ91" i="4"/>
  <c r="BK108" i="4"/>
  <c r="Z140" i="4"/>
  <c r="Z108" i="4"/>
  <c r="BR96" i="4"/>
  <c r="AY96" i="4" s="1"/>
  <c r="G96" i="4"/>
  <c r="G108" i="4" s="1"/>
  <c r="BS104" i="4"/>
  <c r="BI108" i="4"/>
  <c r="J128" i="4"/>
  <c r="J130" i="4" s="1"/>
  <c r="J132" i="4"/>
  <c r="J139" i="4" s="1"/>
  <c r="J141" i="4" s="1"/>
  <c r="BB109" i="4"/>
  <c r="BM132" i="4"/>
  <c r="BM128" i="4"/>
  <c r="DC132" i="4"/>
  <c r="BX128" i="4"/>
  <c r="BX130" i="4" s="1"/>
  <c r="BX132" i="4"/>
  <c r="BX139" i="4" s="1"/>
  <c r="BX141" i="4" s="1"/>
  <c r="Z133" i="4"/>
  <c r="DI112" i="4"/>
  <c r="BR112" i="4"/>
  <c r="BB133" i="4"/>
  <c r="BJ133" i="4"/>
  <c r="BC123" i="4"/>
  <c r="AY123" i="4" s="1"/>
  <c r="CT123" i="4"/>
  <c r="CP123" i="4" s="1"/>
  <c r="K128" i="4"/>
  <c r="G123" i="4"/>
  <c r="AF132" i="4"/>
  <c r="CR137" i="4"/>
  <c r="CZ137" i="4"/>
  <c r="BG140" i="4"/>
  <c r="CZ140" i="4"/>
  <c r="DI140" i="4"/>
  <c r="BE109" i="4"/>
  <c r="DA132" i="4"/>
  <c r="DA128" i="4"/>
  <c r="AC110" i="4"/>
  <c r="BB111" i="4"/>
  <c r="AY111" i="4" s="1"/>
  <c r="AZ133" i="4"/>
  <c r="BH133" i="4"/>
  <c r="CZ133" i="4"/>
  <c r="BR115" i="4"/>
  <c r="G115" i="4"/>
  <c r="T138" i="4"/>
  <c r="T139" i="4" s="1"/>
  <c r="T141" i="4" s="1"/>
  <c r="DC121" i="4"/>
  <c r="T128" i="4"/>
  <c r="T130" i="4" s="1"/>
  <c r="CL138" i="4"/>
  <c r="CL139" i="4" s="1"/>
  <c r="CL141" i="4" s="1"/>
  <c r="CL128" i="4"/>
  <c r="CL130" i="4" s="1"/>
  <c r="CP127" i="4"/>
  <c r="AN133" i="4"/>
  <c r="V140" i="4"/>
  <c r="BB140" i="4"/>
  <c r="BB108" i="4"/>
  <c r="BJ140" i="4"/>
  <c r="BJ108" i="4"/>
  <c r="CU140" i="4"/>
  <c r="DC140" i="4"/>
  <c r="AC96" i="4"/>
  <c r="CN140" i="4"/>
  <c r="G101" i="4"/>
  <c r="G102" i="4"/>
  <c r="BR102" i="4"/>
  <c r="AY102" i="4" s="1"/>
  <c r="BT105" i="4"/>
  <c r="DN105" i="4" s="1"/>
  <c r="AC106" i="4"/>
  <c r="CU108" i="4"/>
  <c r="CU132" i="4"/>
  <c r="DD132" i="4"/>
  <c r="CU133" i="4"/>
  <c r="DC133" i="4"/>
  <c r="AB114" i="4"/>
  <c r="AX114" i="4" s="1"/>
  <c r="AB125" i="4"/>
  <c r="AX125" i="4" s="1"/>
  <c r="BC127" i="4"/>
  <c r="AY127" i="4" s="1"/>
  <c r="AC127" i="4"/>
  <c r="H139" i="4"/>
  <c r="H141" i="4" s="1"/>
  <c r="BK140" i="4"/>
  <c r="CJ140" i="4"/>
  <c r="CJ108" i="4"/>
  <c r="CJ130" i="4" s="1"/>
  <c r="CV140" i="4"/>
  <c r="DD140" i="4"/>
  <c r="BV140" i="4"/>
  <c r="BV108" i="4"/>
  <c r="BV130" i="4" s="1"/>
  <c r="AR140" i="4"/>
  <c r="AC107" i="4"/>
  <c r="CV108" i="4"/>
  <c r="AZ128" i="4"/>
  <c r="AZ132" i="4"/>
  <c r="BJ132" i="4"/>
  <c r="CV128" i="4"/>
  <c r="DE132" i="4"/>
  <c r="DE128" i="4"/>
  <c r="BD133" i="4"/>
  <c r="BL133" i="4"/>
  <c r="DD133" i="4"/>
  <c r="AB116" i="4"/>
  <c r="AX116" i="4" s="1"/>
  <c r="DI116" i="4"/>
  <c r="CP116" i="4" s="1"/>
  <c r="AY119" i="4"/>
  <c r="BS124" i="4"/>
  <c r="CO124" i="4" s="1"/>
  <c r="BT127" i="4"/>
  <c r="DN127" i="4" s="1"/>
  <c r="M128" i="4"/>
  <c r="M130" i="4" s="1"/>
  <c r="AE140" i="4"/>
  <c r="AC104" i="4"/>
  <c r="AE108" i="4"/>
  <c r="AE130" i="4" s="1"/>
  <c r="O128" i="4"/>
  <c r="O130" i="4" s="1"/>
  <c r="O132" i="4"/>
  <c r="O139" i="4" s="1"/>
  <c r="O141" i="4" s="1"/>
  <c r="CX109" i="4"/>
  <c r="BK132" i="4"/>
  <c r="CN132" i="4"/>
  <c r="CW132" i="4"/>
  <c r="CW128" i="4"/>
  <c r="DG128" i="4"/>
  <c r="BI110" i="4"/>
  <c r="AY110" i="4" s="1"/>
  <c r="BE133" i="4"/>
  <c r="CW133" i="4"/>
  <c r="DE133" i="4"/>
  <c r="BR118" i="4"/>
  <c r="AY118" i="4" s="1"/>
  <c r="DI118" i="4"/>
  <c r="CP118" i="4" s="1"/>
  <c r="AY124" i="4"/>
  <c r="DD128" i="4"/>
  <c r="AJ139" i="4"/>
  <c r="AJ141" i="4" s="1"/>
  <c r="U140" i="4"/>
  <c r="DB132" i="4"/>
  <c r="CY110" i="4"/>
  <c r="CY128" i="4" s="1"/>
  <c r="BC133" i="4"/>
  <c r="BW133" i="4"/>
  <c r="CG133" i="4"/>
  <c r="DB120" i="4"/>
  <c r="DB133" i="4" s="1"/>
  <c r="AD139" i="4"/>
  <c r="AD141" i="4" s="1"/>
  <c r="AL139" i="4"/>
  <c r="AL141" i="4" s="1"/>
  <c r="AT139" i="4"/>
  <c r="AT141" i="4" s="1"/>
  <c r="N128" i="4"/>
  <c r="N130" i="4" s="1"/>
  <c r="CE128" i="4"/>
  <c r="CE130" i="4" s="1"/>
  <c r="N132" i="4"/>
  <c r="N139" i="4" s="1"/>
  <c r="N141" i="4" s="1"/>
  <c r="X139" i="4"/>
  <c r="X141" i="4" s="1"/>
  <c r="BN137" i="4"/>
  <c r="BQ133" i="4"/>
  <c r="CQ133" i="4"/>
  <c r="DH133" i="4"/>
  <c r="P128" i="4"/>
  <c r="P130" i="4" s="1"/>
  <c r="Y139" i="4"/>
  <c r="Y141" i="4" s="1"/>
  <c r="BY8" i="3"/>
  <c r="BT8" i="3" s="1"/>
  <c r="DD98" i="3"/>
  <c r="DI109" i="3"/>
  <c r="DI132" i="3" s="1"/>
  <c r="AC111" i="3"/>
  <c r="G9" i="3"/>
  <c r="BT10" i="3"/>
  <c r="BS10" i="3" s="1"/>
  <c r="CO10" i="3" s="1"/>
  <c r="G16" i="3"/>
  <c r="BS16" i="3" s="1"/>
  <c r="CO16" i="3" s="1"/>
  <c r="AC19" i="3"/>
  <c r="AB19" i="3" s="1"/>
  <c r="AX19" i="3" s="1"/>
  <c r="DD47" i="3"/>
  <c r="CP47" i="3" s="1"/>
  <c r="BT49" i="3"/>
  <c r="BS49" i="3" s="1"/>
  <c r="CO49" i="3" s="1"/>
  <c r="AC55" i="3"/>
  <c r="AB55" i="3" s="1"/>
  <c r="AX55" i="3" s="1"/>
  <c r="AI58" i="3"/>
  <c r="AT58" i="3"/>
  <c r="AT130" i="3" s="1"/>
  <c r="BY64" i="3"/>
  <c r="BT64" i="3" s="1"/>
  <c r="AC66" i="3"/>
  <c r="AB66" i="3" s="1"/>
  <c r="AX66" i="3" s="1"/>
  <c r="BC70" i="3"/>
  <c r="AC81" i="3"/>
  <c r="CT81" i="3"/>
  <c r="AY84" i="3"/>
  <c r="BT88" i="3"/>
  <c r="AC98" i="3"/>
  <c r="AB98" i="3" s="1"/>
  <c r="AX98" i="3" s="1"/>
  <c r="CP99" i="3"/>
  <c r="G101" i="3"/>
  <c r="BR102" i="3"/>
  <c r="AC107" i="3"/>
  <c r="AB52" i="3"/>
  <c r="AX52" i="3" s="1"/>
  <c r="CP79" i="3"/>
  <c r="BS82" i="3"/>
  <c r="CO82" i="3" s="1"/>
  <c r="CU132" i="3"/>
  <c r="AJ139" i="3"/>
  <c r="AJ141" i="3" s="1"/>
  <c r="BS43" i="3"/>
  <c r="CO43" i="3" s="1"/>
  <c r="AV58" i="3"/>
  <c r="BX128" i="3"/>
  <c r="BX130" i="3" s="1"/>
  <c r="BF134" i="3"/>
  <c r="CV134" i="3"/>
  <c r="DD134" i="3"/>
  <c r="BR16" i="3"/>
  <c r="AY16" i="3" s="1"/>
  <c r="DI31" i="3"/>
  <c r="CP31" i="3" s="1"/>
  <c r="AC61" i="3"/>
  <c r="DI68" i="3"/>
  <c r="BT77" i="3"/>
  <c r="BS77" i="3" s="1"/>
  <c r="CO77" i="3" s="1"/>
  <c r="BA104" i="3"/>
  <c r="CR107" i="3"/>
  <c r="CR140" i="3" s="1"/>
  <c r="I128" i="3"/>
  <c r="BL121" i="3"/>
  <c r="AY121" i="3" s="1"/>
  <c r="P128" i="3"/>
  <c r="V139" i="3"/>
  <c r="BR67" i="3"/>
  <c r="BC76" i="3"/>
  <c r="AY76" i="3" s="1"/>
  <c r="DD27" i="3"/>
  <c r="CP27" i="3" s="1"/>
  <c r="BM44" i="3"/>
  <c r="AY44" i="3" s="1"/>
  <c r="BA50" i="3"/>
  <c r="BS73" i="3"/>
  <c r="CO73" i="3" s="1"/>
  <c r="AY74" i="3"/>
  <c r="AB76" i="3"/>
  <c r="AX76" i="3" s="1"/>
  <c r="BS79" i="3"/>
  <c r="CO79" i="3" s="1"/>
  <c r="BR96" i="3"/>
  <c r="DI101" i="3"/>
  <c r="CP101" i="3" s="1"/>
  <c r="I108" i="3"/>
  <c r="BK132" i="3"/>
  <c r="CU133" i="3"/>
  <c r="AB124" i="3"/>
  <c r="AX124" i="3" s="1"/>
  <c r="P130" i="3"/>
  <c r="CL128" i="3"/>
  <c r="CL130" i="3" s="1"/>
  <c r="W130" i="3"/>
  <c r="AB74" i="3"/>
  <c r="AX74" i="3" s="1"/>
  <c r="AB86" i="3"/>
  <c r="AX86" i="3" s="1"/>
  <c r="BC8" i="3"/>
  <c r="AW134" i="3"/>
  <c r="BS29" i="3"/>
  <c r="CO29" i="3" s="1"/>
  <c r="AC32" i="3"/>
  <c r="AV135" i="3"/>
  <c r="AV139" i="3" s="1"/>
  <c r="AV141" i="3" s="1"/>
  <c r="BM45" i="3"/>
  <c r="AY45" i="3" s="1"/>
  <c r="CP48" i="3"/>
  <c r="BM50" i="3"/>
  <c r="G68" i="3"/>
  <c r="AB69" i="3"/>
  <c r="AX69" i="3" s="1"/>
  <c r="CT72" i="3"/>
  <c r="CP72" i="3" s="1"/>
  <c r="DB82" i="3"/>
  <c r="CP82" i="3" s="1"/>
  <c r="BS85" i="3"/>
  <c r="CO85" i="3" s="1"/>
  <c r="BZ91" i="3"/>
  <c r="AC96" i="3"/>
  <c r="BN96" i="3"/>
  <c r="BT105" i="3"/>
  <c r="AR108" i="3"/>
  <c r="CQ132" i="3"/>
  <c r="DI112" i="3"/>
  <c r="BR115" i="3"/>
  <c r="BC126" i="3"/>
  <c r="AY126" i="3" s="1"/>
  <c r="AB44" i="3"/>
  <c r="AX44" i="3" s="1"/>
  <c r="DI102" i="3"/>
  <c r="CJ102" i="3"/>
  <c r="CJ108" i="3" s="1"/>
  <c r="CJ130" i="3" s="1"/>
  <c r="AP136" i="3"/>
  <c r="AP20" i="3"/>
  <c r="BS31" i="3"/>
  <c r="CO31" i="3" s="1"/>
  <c r="L58" i="3"/>
  <c r="G56" i="3"/>
  <c r="L135" i="3"/>
  <c r="CU56" i="3"/>
  <c r="CP56" i="3" s="1"/>
  <c r="AB70" i="3"/>
  <c r="AX70" i="3" s="1"/>
  <c r="BN95" i="3"/>
  <c r="AY95" i="3" s="1"/>
  <c r="AC95" i="3"/>
  <c r="AB95" i="3" s="1"/>
  <c r="AX95" i="3" s="1"/>
  <c r="BA6" i="3"/>
  <c r="CR6" i="3"/>
  <c r="CT12" i="3"/>
  <c r="CP12" i="3" s="1"/>
  <c r="BT12" i="3"/>
  <c r="BS12" i="3" s="1"/>
  <c r="CO12" i="3" s="1"/>
  <c r="CG15" i="3"/>
  <c r="BT15" i="3" s="1"/>
  <c r="AC18" i="3"/>
  <c r="AB18" i="3" s="1"/>
  <c r="AX18" i="3" s="1"/>
  <c r="BC18" i="3"/>
  <c r="AY18" i="3" s="1"/>
  <c r="BS22" i="3"/>
  <c r="CO22" i="3" s="1"/>
  <c r="BM24" i="3"/>
  <c r="AY24" i="3" s="1"/>
  <c r="AC24" i="3"/>
  <c r="AB24" i="3" s="1"/>
  <c r="AX24" i="3" s="1"/>
  <c r="DD45" i="3"/>
  <c r="CP45" i="3" s="1"/>
  <c r="AC48" i="3"/>
  <c r="AB48" i="3" s="1"/>
  <c r="AX48" i="3" s="1"/>
  <c r="BA48" i="3"/>
  <c r="AY48" i="3" s="1"/>
  <c r="CR5" i="3"/>
  <c r="BL58" i="3"/>
  <c r="G40" i="3"/>
  <c r="BS40" i="3" s="1"/>
  <c r="CO40" i="3" s="1"/>
  <c r="DI40" i="3"/>
  <c r="CP40" i="3" s="1"/>
  <c r="BR40" i="3"/>
  <c r="AY40" i="3" s="1"/>
  <c r="DI73" i="3"/>
  <c r="CP73" i="3" s="1"/>
  <c r="AC80" i="3"/>
  <c r="BK80" i="3"/>
  <c r="AY80" i="3" s="1"/>
  <c r="CT87" i="3"/>
  <c r="CP87" i="3" s="1"/>
  <c r="BT87" i="3"/>
  <c r="BS87" i="3" s="1"/>
  <c r="CO87" i="3" s="1"/>
  <c r="BN105" i="3"/>
  <c r="AY105" i="3" s="1"/>
  <c r="CZ136" i="3"/>
  <c r="CC130" i="3"/>
  <c r="BN94" i="3"/>
  <c r="AY94" i="3" s="1"/>
  <c r="AC94" i="3"/>
  <c r="AB94" i="3" s="1"/>
  <c r="AX94" i="3" s="1"/>
  <c r="M128" i="3"/>
  <c r="M132" i="3"/>
  <c r="M139" i="3" s="1"/>
  <c r="M141" i="3" s="1"/>
  <c r="CV109" i="3"/>
  <c r="CP4" i="3"/>
  <c r="M130" i="3"/>
  <c r="M142" i="3" s="1"/>
  <c r="CV108" i="3"/>
  <c r="DD133" i="3"/>
  <c r="AC46" i="3"/>
  <c r="AB46" i="3" s="1"/>
  <c r="AX46" i="3" s="1"/>
  <c r="BM46" i="3"/>
  <c r="AY46" i="3" s="1"/>
  <c r="BR7" i="3"/>
  <c r="W135" i="3"/>
  <c r="W139" i="3" s="1"/>
  <c r="W141" i="3" s="1"/>
  <c r="BO32" i="3"/>
  <c r="BO58" i="3" s="1"/>
  <c r="BO130" i="3" s="1"/>
  <c r="G32" i="3"/>
  <c r="AB4" i="3"/>
  <c r="AX4" i="3" s="1"/>
  <c r="BR38" i="3"/>
  <c r="AY38" i="3" s="1"/>
  <c r="G38" i="3"/>
  <c r="BP91" i="3"/>
  <c r="DC137" i="3"/>
  <c r="CP76" i="3"/>
  <c r="AP133" i="3"/>
  <c r="AP128" i="3"/>
  <c r="AC120" i="3"/>
  <c r="AB120" i="3" s="1"/>
  <c r="AX120" i="3" s="1"/>
  <c r="BK120" i="3"/>
  <c r="BK133" i="3" s="1"/>
  <c r="DI127" i="3"/>
  <c r="G127" i="3"/>
  <c r="BR127" i="3"/>
  <c r="DD53" i="3"/>
  <c r="CP53" i="3" s="1"/>
  <c r="BT53" i="3"/>
  <c r="BS53" i="3" s="1"/>
  <c r="CO53" i="3" s="1"/>
  <c r="DI61" i="3"/>
  <c r="CP61" i="3" s="1"/>
  <c r="BT61" i="3"/>
  <c r="BS61" i="3" s="1"/>
  <c r="CO61" i="3" s="1"/>
  <c r="AB11" i="3"/>
  <c r="AX11" i="3" s="1"/>
  <c r="AL142" i="3"/>
  <c r="DF32" i="3"/>
  <c r="CT15" i="3"/>
  <c r="BS21" i="3"/>
  <c r="CO21" i="3" s="1"/>
  <c r="BB134" i="3"/>
  <c r="AC10" i="3"/>
  <c r="AB10" i="3" s="1"/>
  <c r="AX10" i="3" s="1"/>
  <c r="R135" i="3"/>
  <c r="DA41" i="3"/>
  <c r="G41" i="3"/>
  <c r="AY49" i="3"/>
  <c r="AC62" i="3"/>
  <c r="AB62" i="3" s="1"/>
  <c r="AX62" i="3" s="1"/>
  <c r="BK62" i="3"/>
  <c r="AY62" i="3" s="1"/>
  <c r="AP91" i="3"/>
  <c r="DB128" i="3"/>
  <c r="AY61" i="3"/>
  <c r="BI91" i="3"/>
  <c r="BH108" i="3"/>
  <c r="AB106" i="3"/>
  <c r="AX106" i="3" s="1"/>
  <c r="BF108" i="3"/>
  <c r="BN106" i="3"/>
  <c r="AY106" i="3" s="1"/>
  <c r="BN128" i="3"/>
  <c r="BE133" i="3"/>
  <c r="BW132" i="3"/>
  <c r="BF136" i="3"/>
  <c r="BN135" i="3"/>
  <c r="G5" i="3"/>
  <c r="AY10" i="3"/>
  <c r="AB17" i="3"/>
  <c r="AX17" i="3" s="1"/>
  <c r="BS18" i="3"/>
  <c r="CO18" i="3" s="1"/>
  <c r="X130" i="3"/>
  <c r="BU130" i="3"/>
  <c r="BE58" i="3"/>
  <c r="BM32" i="3"/>
  <c r="AY32" i="3" s="1"/>
  <c r="AC38" i="3"/>
  <c r="AB38" i="3" s="1"/>
  <c r="AX38" i="3" s="1"/>
  <c r="AY86" i="3"/>
  <c r="BI108" i="3"/>
  <c r="BT100" i="3"/>
  <c r="BS100" i="3" s="1"/>
  <c r="CO100" i="3" s="1"/>
  <c r="V108" i="3"/>
  <c r="V130" i="3" s="1"/>
  <c r="BR109" i="3"/>
  <c r="BQ132" i="3"/>
  <c r="CP124" i="3"/>
  <c r="AS139" i="3"/>
  <c r="BG133" i="3"/>
  <c r="AH20" i="3"/>
  <c r="BB91" i="3"/>
  <c r="CF91" i="3"/>
  <c r="AW133" i="3"/>
  <c r="CA139" i="3"/>
  <c r="CA141" i="3" s="1"/>
  <c r="AW20" i="3"/>
  <c r="AF20" i="3"/>
  <c r="CX134" i="3"/>
  <c r="DG134" i="3"/>
  <c r="BC19" i="3"/>
  <c r="AY19" i="3" s="1"/>
  <c r="G26" i="3"/>
  <c r="AB26" i="3" s="1"/>
  <c r="AX26" i="3" s="1"/>
  <c r="AC29" i="3"/>
  <c r="AB29" i="3" s="1"/>
  <c r="AX29" i="3" s="1"/>
  <c r="DD29" i="3"/>
  <c r="CP29" i="3" s="1"/>
  <c r="CW91" i="3"/>
  <c r="AY69" i="3"/>
  <c r="BD108" i="3"/>
  <c r="BL108" i="3"/>
  <c r="AB99" i="3"/>
  <c r="AX99" i="3" s="1"/>
  <c r="AC103" i="3"/>
  <c r="BR103" i="3"/>
  <c r="Z108" i="3"/>
  <c r="DB132" i="3"/>
  <c r="BA110" i="3"/>
  <c r="DA133" i="3"/>
  <c r="BA114" i="3"/>
  <c r="AY114" i="3" s="1"/>
  <c r="CP120" i="3"/>
  <c r="AM139" i="3"/>
  <c r="AM141" i="3" s="1"/>
  <c r="AM142" i="3" s="1"/>
  <c r="CB139" i="3"/>
  <c r="CB141" i="3" s="1"/>
  <c r="CK139" i="3"/>
  <c r="CK141" i="3" s="1"/>
  <c r="CK142" i="3" s="1"/>
  <c r="CV136" i="3"/>
  <c r="DH20" i="3"/>
  <c r="BA9" i="3"/>
  <c r="CF139" i="3"/>
  <c r="CF141" i="3" s="1"/>
  <c r="DD50" i="3"/>
  <c r="BB136" i="3"/>
  <c r="BJ136" i="3"/>
  <c r="AJ130" i="3"/>
  <c r="AJ142" i="3" s="1"/>
  <c r="CA130" i="3"/>
  <c r="BN58" i="3"/>
  <c r="CX58" i="3"/>
  <c r="DG58" i="3"/>
  <c r="DD32" i="3"/>
  <c r="CP32" i="3" s="1"/>
  <c r="BT33" i="3"/>
  <c r="BS33" i="3" s="1"/>
  <c r="CO33" i="3" s="1"/>
  <c r="DD35" i="3"/>
  <c r="CP35" i="3" s="1"/>
  <c r="BT36" i="3"/>
  <c r="BS55" i="3"/>
  <c r="CO55" i="3" s="1"/>
  <c r="DE94" i="3"/>
  <c r="CP94" i="3" s="1"/>
  <c r="DE95" i="3"/>
  <c r="CP95" i="3" s="1"/>
  <c r="DA140" i="3"/>
  <c r="I132" i="3"/>
  <c r="CY110" i="3"/>
  <c r="CY128" i="3" s="1"/>
  <c r="CS133" i="3"/>
  <c r="AD139" i="3"/>
  <c r="AD141" i="3" s="1"/>
  <c r="AD142" i="3" s="1"/>
  <c r="CC139" i="3"/>
  <c r="CC141" i="3" s="1"/>
  <c r="AK139" i="3"/>
  <c r="AK141" i="3" s="1"/>
  <c r="DD136" i="3"/>
  <c r="BT109" i="3"/>
  <c r="DE132" i="3"/>
  <c r="AL139" i="3"/>
  <c r="AL141" i="3" s="1"/>
  <c r="CN136" i="3"/>
  <c r="BJ134" i="3"/>
  <c r="CZ134" i="3"/>
  <c r="CN134" i="3"/>
  <c r="AK130" i="3"/>
  <c r="CB130" i="3"/>
  <c r="CB142" i="3" s="1"/>
  <c r="CS135" i="3"/>
  <c r="DD43" i="3"/>
  <c r="CP43" i="3" s="1"/>
  <c r="CP49" i="3"/>
  <c r="BG91" i="3"/>
  <c r="DA64" i="3"/>
  <c r="DD91" i="3"/>
  <c r="BQ108" i="3"/>
  <c r="BC104" i="3"/>
  <c r="BC140" i="3" s="1"/>
  <c r="AH108" i="3"/>
  <c r="BC133" i="3"/>
  <c r="BL133" i="3"/>
  <c r="AY117" i="3"/>
  <c r="CT133" i="3"/>
  <c r="DB133" i="3"/>
  <c r="AH128" i="3"/>
  <c r="BU139" i="3"/>
  <c r="BU141" i="3" s="1"/>
  <c r="BC14" i="3"/>
  <c r="AY14" i="3" s="1"/>
  <c r="AC14" i="3"/>
  <c r="AZ136" i="3"/>
  <c r="AZ20" i="3"/>
  <c r="AY4" i="3"/>
  <c r="BH136" i="3"/>
  <c r="BH20" i="3"/>
  <c r="BQ136" i="3"/>
  <c r="BQ20" i="3"/>
  <c r="BT5" i="3"/>
  <c r="CR11" i="3"/>
  <c r="CP11" i="3" s="1"/>
  <c r="BT11" i="3"/>
  <c r="AB16" i="3"/>
  <c r="AX16" i="3" s="1"/>
  <c r="CQ135" i="3"/>
  <c r="CP21" i="3"/>
  <c r="CQ58" i="3"/>
  <c r="CY135" i="3"/>
  <c r="CY58" i="3"/>
  <c r="AY26" i="3"/>
  <c r="AC36" i="3"/>
  <c r="BM36" i="3"/>
  <c r="AY36" i="3" s="1"/>
  <c r="AP135" i="3"/>
  <c r="AC37" i="3"/>
  <c r="BK37" i="3"/>
  <c r="AY37" i="3" s="1"/>
  <c r="AP58" i="3"/>
  <c r="AO135" i="3"/>
  <c r="AC41" i="3"/>
  <c r="AO58" i="3"/>
  <c r="AY51" i="3"/>
  <c r="BT63" i="3"/>
  <c r="CT63" i="3"/>
  <c r="AC72" i="3"/>
  <c r="BC72" i="3"/>
  <c r="AY72" i="3" s="1"/>
  <c r="AB84" i="3"/>
  <c r="AX84" i="3" s="1"/>
  <c r="DI110" i="3"/>
  <c r="BR110" i="3"/>
  <c r="G110" i="3"/>
  <c r="CT6" i="3"/>
  <c r="BC6" i="3"/>
  <c r="AY6" i="3" s="1"/>
  <c r="AZ134" i="3"/>
  <c r="BY9" i="3"/>
  <c r="CT9" i="3" s="1"/>
  <c r="BC11" i="3"/>
  <c r="AY11" i="3" s="1"/>
  <c r="BB20" i="3"/>
  <c r="CG135" i="3"/>
  <c r="CG58" i="3"/>
  <c r="BT37" i="3"/>
  <c r="DB37" i="3"/>
  <c r="BK39" i="3"/>
  <c r="AC39" i="3"/>
  <c r="AC57" i="3"/>
  <c r="BR57" i="3"/>
  <c r="AY57" i="3" s="1"/>
  <c r="DI88" i="3"/>
  <c r="CP88" i="3" s="1"/>
  <c r="G88" i="3"/>
  <c r="BR88" i="3"/>
  <c r="AY88" i="3" s="1"/>
  <c r="G107" i="3"/>
  <c r="BM107" i="3"/>
  <c r="BM140" i="3" s="1"/>
  <c r="DD107" i="3"/>
  <c r="CV20" i="3"/>
  <c r="DA135" i="3"/>
  <c r="DA58" i="3"/>
  <c r="BM56" i="3"/>
  <c r="AC56" i="3"/>
  <c r="BS57" i="3"/>
  <c r="CO57" i="3" s="1"/>
  <c r="BS95" i="3"/>
  <c r="CO95" i="3" s="1"/>
  <c r="BT98" i="3"/>
  <c r="DE98" i="3"/>
  <c r="BY136" i="3"/>
  <c r="BT4" i="3"/>
  <c r="I134" i="3"/>
  <c r="BA8" i="3"/>
  <c r="BA134" i="3" s="1"/>
  <c r="G8" i="3"/>
  <c r="BZ136" i="3"/>
  <c r="BZ139" i="3" s="1"/>
  <c r="BZ141" i="3" s="1"/>
  <c r="BZ20" i="3"/>
  <c r="CU13" i="3"/>
  <c r="CU136" i="3" s="1"/>
  <c r="BF20" i="3"/>
  <c r="CZ20" i="3"/>
  <c r="BF135" i="3"/>
  <c r="BF58" i="3"/>
  <c r="I135" i="3"/>
  <c r="BA23" i="3"/>
  <c r="AY23" i="3" s="1"/>
  <c r="G23" i="3"/>
  <c r="AB23" i="3" s="1"/>
  <c r="AX23" i="3" s="1"/>
  <c r="I58" i="3"/>
  <c r="CR23" i="3"/>
  <c r="CP23" i="3" s="1"/>
  <c r="CI135" i="3"/>
  <c r="CI139" i="3" s="1"/>
  <c r="BT24" i="3"/>
  <c r="CI58" i="3"/>
  <c r="DD24" i="3"/>
  <c r="CP24" i="3" s="1"/>
  <c r="AC35" i="3"/>
  <c r="BM35" i="3"/>
  <c r="AY35" i="3" s="1"/>
  <c r="BS35" i="3"/>
  <c r="CO35" i="3" s="1"/>
  <c r="BT38" i="3"/>
  <c r="DB38" i="3"/>
  <c r="CM135" i="3"/>
  <c r="CM139" i="3" s="1"/>
  <c r="CM141" i="3" s="1"/>
  <c r="CM58" i="3"/>
  <c r="CM130" i="3" s="1"/>
  <c r="DH39" i="3"/>
  <c r="CP39" i="3" s="1"/>
  <c r="BT39" i="3"/>
  <c r="AI137" i="3"/>
  <c r="AC59" i="3"/>
  <c r="AI91" i="3"/>
  <c r="AB82" i="3"/>
  <c r="AX82" i="3" s="1"/>
  <c r="AB87" i="3"/>
  <c r="AX87" i="3" s="1"/>
  <c r="BT25" i="3"/>
  <c r="DD25" i="3"/>
  <c r="CP25" i="3" s="1"/>
  <c r="BT30" i="3"/>
  <c r="DI30" i="3"/>
  <c r="CP30" i="3" s="1"/>
  <c r="DF135" i="3"/>
  <c r="DF58" i="3"/>
  <c r="DF130" i="3" s="1"/>
  <c r="BS36" i="3"/>
  <c r="CO36" i="3" s="1"/>
  <c r="CR54" i="3"/>
  <c r="BA54" i="3"/>
  <c r="AY54" i="3" s="1"/>
  <c r="G54" i="3"/>
  <c r="CX136" i="3"/>
  <c r="CX20" i="3"/>
  <c r="DG136" i="3"/>
  <c r="DG20" i="3"/>
  <c r="BE20" i="3"/>
  <c r="AC9" i="3"/>
  <c r="CP16" i="3"/>
  <c r="CT19" i="3"/>
  <c r="CP19" i="3" s="1"/>
  <c r="BT19" i="3"/>
  <c r="BJ20" i="3"/>
  <c r="BG58" i="3"/>
  <c r="DC135" i="3"/>
  <c r="DC58" i="3"/>
  <c r="AB22" i="3"/>
  <c r="AX22" i="3" s="1"/>
  <c r="BT23" i="3"/>
  <c r="BW58" i="3"/>
  <c r="BM28" i="3"/>
  <c r="AY28" i="3" s="1"/>
  <c r="AC28" i="3"/>
  <c r="BT28" i="3"/>
  <c r="DD28" i="3"/>
  <c r="CP28" i="3" s="1"/>
  <c r="CP41" i="3"/>
  <c r="CP44" i="3"/>
  <c r="AB53" i="3"/>
  <c r="AX53" i="3" s="1"/>
  <c r="CP55" i="3"/>
  <c r="CX137" i="3"/>
  <c r="CX91" i="3"/>
  <c r="DG137" i="3"/>
  <c r="DG91" i="3"/>
  <c r="BN91" i="3"/>
  <c r="BR90" i="3"/>
  <c r="AY90" i="3" s="1"/>
  <c r="G90" i="3"/>
  <c r="DI90" i="3"/>
  <c r="CP90" i="3" s="1"/>
  <c r="BK108" i="3"/>
  <c r="BK140" i="3"/>
  <c r="AH136" i="3"/>
  <c r="AC5" i="3"/>
  <c r="DI5" i="3"/>
  <c r="BO134" i="3"/>
  <c r="BN134" i="3"/>
  <c r="CR8" i="3"/>
  <c r="CR9" i="3"/>
  <c r="DI9" i="3"/>
  <c r="DI134" i="3" s="1"/>
  <c r="BT14" i="3"/>
  <c r="CT14" i="3"/>
  <c r="CP14" i="3" s="1"/>
  <c r="CT18" i="3"/>
  <c r="CP18" i="3" s="1"/>
  <c r="DD20" i="3"/>
  <c r="BH135" i="3"/>
  <c r="BH58" i="3"/>
  <c r="G27" i="3"/>
  <c r="AB27" i="3" s="1"/>
  <c r="AX27" i="3" s="1"/>
  <c r="BM27" i="3"/>
  <c r="U58" i="3"/>
  <c r="CS58" i="3"/>
  <c r="CN137" i="3"/>
  <c r="CN91" i="3"/>
  <c r="BT59" i="3"/>
  <c r="AY68" i="3"/>
  <c r="CP70" i="3"/>
  <c r="AY75" i="3"/>
  <c r="BS76" i="3"/>
  <c r="CO76" i="3" s="1"/>
  <c r="AY81" i="3"/>
  <c r="BT83" i="3"/>
  <c r="DB83" i="3"/>
  <c r="CP83" i="3" s="1"/>
  <c r="K136" i="3"/>
  <c r="K20" i="3"/>
  <c r="BC5" i="3"/>
  <c r="BA7" i="3"/>
  <c r="BA136" i="3" s="1"/>
  <c r="CR7" i="3"/>
  <c r="G7" i="3"/>
  <c r="AF134" i="3"/>
  <c r="AC8" i="3"/>
  <c r="DI13" i="3"/>
  <c r="BR13" i="3"/>
  <c r="G13" i="3"/>
  <c r="BS17" i="3"/>
  <c r="CO17" i="3" s="1"/>
  <c r="BN20" i="3"/>
  <c r="AZ135" i="3"/>
  <c r="AZ58" i="3"/>
  <c r="CW135" i="3"/>
  <c r="CW58" i="3"/>
  <c r="DE135" i="3"/>
  <c r="DE58" i="3"/>
  <c r="BM34" i="3"/>
  <c r="AY34" i="3" s="1"/>
  <c r="AC34" i="3"/>
  <c r="DD54" i="3"/>
  <c r="CP54" i="3" s="1"/>
  <c r="BT54" i="3"/>
  <c r="BA91" i="3"/>
  <c r="CZ137" i="3"/>
  <c r="CZ91" i="3"/>
  <c r="AY66" i="3"/>
  <c r="AB73" i="3"/>
  <c r="AX73" i="3" s="1"/>
  <c r="CS20" i="3"/>
  <c r="CT5" i="3"/>
  <c r="G6" i="3"/>
  <c r="BH134" i="3"/>
  <c r="CP10" i="3"/>
  <c r="AC12" i="3"/>
  <c r="BC12" i="3"/>
  <c r="AY12" i="3" s="1"/>
  <c r="AI136" i="3"/>
  <c r="AI20" i="3"/>
  <c r="AC13" i="3"/>
  <c r="BD13" i="3"/>
  <c r="BD136" i="3" s="1"/>
  <c r="BC17" i="3"/>
  <c r="AY17" i="3" s="1"/>
  <c r="AV130" i="3"/>
  <c r="CN20" i="3"/>
  <c r="BB58" i="3"/>
  <c r="BA22" i="3"/>
  <c r="AY22" i="3" s="1"/>
  <c r="AY27" i="3"/>
  <c r="BR31" i="3"/>
  <c r="AY31" i="3" s="1"/>
  <c r="AC31" i="3"/>
  <c r="BT34" i="3"/>
  <c r="DD34" i="3"/>
  <c r="CP34" i="3" s="1"/>
  <c r="G42" i="3"/>
  <c r="BM42" i="3"/>
  <c r="AY42" i="3" s="1"/>
  <c r="DD42" i="3"/>
  <c r="CP42" i="3" s="1"/>
  <c r="BM43" i="3"/>
  <c r="AY43" i="3" s="1"/>
  <c r="AC43" i="3"/>
  <c r="AR58" i="3"/>
  <c r="AR130" i="3" s="1"/>
  <c r="G60" i="3"/>
  <c r="Z91" i="3"/>
  <c r="DI60" i="3"/>
  <c r="CP60" i="3" s="1"/>
  <c r="BR60" i="3"/>
  <c r="CS91" i="3"/>
  <c r="DA91" i="3"/>
  <c r="AH91" i="3"/>
  <c r="BS67" i="3"/>
  <c r="CO67" i="3" s="1"/>
  <c r="BT80" i="3"/>
  <c r="DB80" i="3"/>
  <c r="CP80" i="3" s="1"/>
  <c r="CG91" i="3"/>
  <c r="CV137" i="3"/>
  <c r="CV91" i="3"/>
  <c r="DD137" i="3"/>
  <c r="AY60" i="3"/>
  <c r="S137" i="3"/>
  <c r="S139" i="3" s="1"/>
  <c r="S141" i="3" s="1"/>
  <c r="S91" i="3"/>
  <c r="S130" i="3" s="1"/>
  <c r="AY85" i="3"/>
  <c r="CN140" i="3"/>
  <c r="BT96" i="3"/>
  <c r="DI96" i="3"/>
  <c r="AY99" i="3"/>
  <c r="BE136" i="3"/>
  <c r="BM136" i="3"/>
  <c r="CW136" i="3"/>
  <c r="CW20" i="3"/>
  <c r="DE136" i="3"/>
  <c r="DE20" i="3"/>
  <c r="I136" i="3"/>
  <c r="BK134" i="3"/>
  <c r="BW134" i="3"/>
  <c r="CU134" i="3"/>
  <c r="DC134" i="3"/>
  <c r="BC15" i="3"/>
  <c r="AC15" i="3"/>
  <c r="BM20" i="3"/>
  <c r="BC135" i="3"/>
  <c r="AY25" i="3"/>
  <c r="AY29" i="3"/>
  <c r="AW135" i="3"/>
  <c r="BR30" i="3"/>
  <c r="AY30" i="3" s="1"/>
  <c r="AC30" i="3"/>
  <c r="AW58" i="3"/>
  <c r="CP46" i="3"/>
  <c r="AY55" i="3"/>
  <c r="BC58" i="3"/>
  <c r="AZ91" i="3"/>
  <c r="BS60" i="3"/>
  <c r="CO60" i="3" s="1"/>
  <c r="BS66" i="3"/>
  <c r="CO66" i="3" s="1"/>
  <c r="AB67" i="3"/>
  <c r="AX67" i="3" s="1"/>
  <c r="CP78" i="3"/>
  <c r="CP93" i="3"/>
  <c r="CY140" i="3"/>
  <c r="CY108" i="3"/>
  <c r="DH140" i="3"/>
  <c r="DH108" i="3"/>
  <c r="BG136" i="3"/>
  <c r="BG20" i="3"/>
  <c r="BP136" i="3"/>
  <c r="BP20" i="3"/>
  <c r="CQ136" i="3"/>
  <c r="CQ20" i="3"/>
  <c r="CY136" i="3"/>
  <c r="CY20" i="3"/>
  <c r="DH136" i="3"/>
  <c r="Z136" i="3"/>
  <c r="CT7" i="3"/>
  <c r="CP7" i="3" s="1"/>
  <c r="AH134" i="3"/>
  <c r="BE134" i="3"/>
  <c r="BM134" i="3"/>
  <c r="CW134" i="3"/>
  <c r="DE134" i="3"/>
  <c r="CT17" i="3"/>
  <c r="CP17" i="3" s="1"/>
  <c r="I20" i="3"/>
  <c r="Z20" i="3"/>
  <c r="AF135" i="3"/>
  <c r="AC21" i="3"/>
  <c r="BE135" i="3"/>
  <c r="CZ135" i="3"/>
  <c r="L137" i="3"/>
  <c r="L139" i="3" s="1"/>
  <c r="L141" i="3" s="1"/>
  <c r="G59" i="3"/>
  <c r="L91" i="3"/>
  <c r="CU59" i="3"/>
  <c r="BD59" i="3"/>
  <c r="DB63" i="3"/>
  <c r="G64" i="3"/>
  <c r="AC77" i="3"/>
  <c r="BC77" i="3"/>
  <c r="AY77" i="3" s="1"/>
  <c r="AB88" i="3"/>
  <c r="AX88" i="3" s="1"/>
  <c r="AB90" i="3"/>
  <c r="AX90" i="3" s="1"/>
  <c r="CS108" i="3"/>
  <c r="CS140" i="3"/>
  <c r="DA108" i="3"/>
  <c r="AC97" i="3"/>
  <c r="BN97" i="3"/>
  <c r="AY97" i="3" s="1"/>
  <c r="CN108" i="3"/>
  <c r="BC132" i="3"/>
  <c r="CY133" i="3"/>
  <c r="BE140" i="3"/>
  <c r="BE108" i="3"/>
  <c r="BT97" i="3"/>
  <c r="DE97" i="3"/>
  <c r="CP97" i="3" s="1"/>
  <c r="BS105" i="3"/>
  <c r="CO105" i="3" s="1"/>
  <c r="CH138" i="3"/>
  <c r="BT138" i="3" s="1"/>
  <c r="CH128" i="3"/>
  <c r="BT121" i="3"/>
  <c r="DC121" i="3"/>
  <c r="BI136" i="3"/>
  <c r="BI20" i="3"/>
  <c r="CS136" i="3"/>
  <c r="DA136" i="3"/>
  <c r="BG134" i="3"/>
  <c r="BQ134" i="3"/>
  <c r="CQ134" i="3"/>
  <c r="CY134" i="3"/>
  <c r="DH134" i="3"/>
  <c r="BR9" i="3"/>
  <c r="BT13" i="3"/>
  <c r="BG135" i="3"/>
  <c r="AR135" i="3"/>
  <c r="AR139" i="3" s="1"/>
  <c r="AR141" i="3" s="1"/>
  <c r="CP33" i="3"/>
  <c r="CP36" i="3"/>
  <c r="G47" i="3"/>
  <c r="AB47" i="3" s="1"/>
  <c r="AX47" i="3" s="1"/>
  <c r="BR47" i="3"/>
  <c r="AY47" i="3" s="1"/>
  <c r="G50" i="3"/>
  <c r="AB50" i="3" s="1"/>
  <c r="AX50" i="3" s="1"/>
  <c r="CR50" i="3"/>
  <c r="AY53" i="3"/>
  <c r="CZ58" i="3"/>
  <c r="BE137" i="3"/>
  <c r="BE91" i="3"/>
  <c r="BM137" i="3"/>
  <c r="BM91" i="3"/>
  <c r="CR137" i="3"/>
  <c r="CR91" i="3"/>
  <c r="CP66" i="3"/>
  <c r="CP69" i="3"/>
  <c r="AY70" i="3"/>
  <c r="BC78" i="3"/>
  <c r="AY78" i="3" s="1"/>
  <c r="AC78" i="3"/>
  <c r="BC79" i="3"/>
  <c r="AY79" i="3" s="1"/>
  <c r="AC79" i="3"/>
  <c r="CP81" i="3"/>
  <c r="BS90" i="3"/>
  <c r="CO90" i="3" s="1"/>
  <c r="CU140" i="3"/>
  <c r="CU108" i="3"/>
  <c r="DC140" i="3"/>
  <c r="DC108" i="3"/>
  <c r="BT114" i="3"/>
  <c r="CR114" i="3"/>
  <c r="CP114" i="3" s="1"/>
  <c r="BT86" i="3"/>
  <c r="CT86" i="3"/>
  <c r="CP86" i="3" s="1"/>
  <c r="BS88" i="3"/>
  <c r="CO88" i="3" s="1"/>
  <c r="BG140" i="3"/>
  <c r="BG108" i="3"/>
  <c r="G103" i="3"/>
  <c r="DE103" i="3"/>
  <c r="CP103" i="3" s="1"/>
  <c r="BN103" i="3"/>
  <c r="CP105" i="3"/>
  <c r="CP106" i="3"/>
  <c r="AW136" i="3"/>
  <c r="K134" i="3"/>
  <c r="BI134" i="3"/>
  <c r="CS134" i="3"/>
  <c r="DA134" i="3"/>
  <c r="AQ136" i="3"/>
  <c r="AQ20" i="3"/>
  <c r="BL13" i="3"/>
  <c r="BL20" i="3" s="1"/>
  <c r="CH136" i="3"/>
  <c r="CH20" i="3"/>
  <c r="CH130" i="3" s="1"/>
  <c r="DC13" i="3"/>
  <c r="DC20" i="3" s="1"/>
  <c r="DA20" i="3"/>
  <c r="BA21" i="3"/>
  <c r="AY21" i="3" s="1"/>
  <c r="BI135" i="3"/>
  <c r="BI58" i="3"/>
  <c r="AB33" i="3"/>
  <c r="AX33" i="3" s="1"/>
  <c r="BM33" i="3"/>
  <c r="AY33" i="3" s="1"/>
  <c r="BP135" i="3"/>
  <c r="AF58" i="3"/>
  <c r="BP58" i="3"/>
  <c r="BQ91" i="3"/>
  <c r="CQ91" i="3"/>
  <c r="CY91" i="3"/>
  <c r="BK63" i="3"/>
  <c r="AY63" i="3" s="1"/>
  <c r="AO137" i="3"/>
  <c r="AO91" i="3"/>
  <c r="CP67" i="3"/>
  <c r="BS68" i="3"/>
  <c r="CO68" i="3" s="1"/>
  <c r="CW140" i="3"/>
  <c r="CW108" i="3"/>
  <c r="CN132" i="3"/>
  <c r="DA128" i="3"/>
  <c r="DA132" i="3"/>
  <c r="BH128" i="3"/>
  <c r="BL135" i="3"/>
  <c r="CX135" i="3"/>
  <c r="DG135" i="3"/>
  <c r="U135" i="3"/>
  <c r="U139" i="3" s="1"/>
  <c r="U141" i="3" s="1"/>
  <c r="Z135" i="3"/>
  <c r="CF58" i="3"/>
  <c r="BL137" i="3"/>
  <c r="CW137" i="3"/>
  <c r="DE137" i="3"/>
  <c r="DE91" i="3"/>
  <c r="BP137" i="3"/>
  <c r="G71" i="3"/>
  <c r="CT71" i="3"/>
  <c r="CP71" i="3" s="1"/>
  <c r="BC71" i="3"/>
  <c r="AY71" i="3" s="1"/>
  <c r="CP74" i="3"/>
  <c r="CP77" i="3"/>
  <c r="CP84" i="3"/>
  <c r="BS94" i="3"/>
  <c r="CO94" i="3" s="1"/>
  <c r="BN102" i="3"/>
  <c r="AY102" i="3" s="1"/>
  <c r="AC102" i="3"/>
  <c r="CW128" i="3"/>
  <c r="CW132" i="3"/>
  <c r="CT132" i="3"/>
  <c r="CZ112" i="3"/>
  <c r="Q133" i="3"/>
  <c r="BI112" i="3"/>
  <c r="BI133" i="3" s="1"/>
  <c r="AP137" i="3"/>
  <c r="BJ41" i="3"/>
  <c r="AY41" i="3" s="1"/>
  <c r="BR52" i="3"/>
  <c r="AY52" i="3" s="1"/>
  <c r="AW137" i="3"/>
  <c r="AW91" i="3"/>
  <c r="BF137" i="3"/>
  <c r="BF91" i="3"/>
  <c r="BN136" i="3"/>
  <c r="K137" i="3"/>
  <c r="K139" i="3" s="1"/>
  <c r="K141" i="3" s="1"/>
  <c r="G63" i="3"/>
  <c r="K91" i="3"/>
  <c r="G65" i="3"/>
  <c r="BS65" i="3" s="1"/>
  <c r="CO65" i="3" s="1"/>
  <c r="DI65" i="3"/>
  <c r="CP65" i="3" s="1"/>
  <c r="AY67" i="3"/>
  <c r="BR73" i="3"/>
  <c r="AY73" i="3" s="1"/>
  <c r="AY87" i="3"/>
  <c r="CT89" i="3"/>
  <c r="CP89" i="3" s="1"/>
  <c r="BT89" i="3"/>
  <c r="AS140" i="3"/>
  <c r="AS108" i="3"/>
  <c r="AS130" i="3" s="1"/>
  <c r="Q132" i="3"/>
  <c r="Q128" i="3"/>
  <c r="Q130" i="3" s="1"/>
  <c r="BI109" i="3"/>
  <c r="CZ109" i="3"/>
  <c r="CV132" i="3"/>
  <c r="AB110" i="3"/>
  <c r="AX110" i="3" s="1"/>
  <c r="CX128" i="3"/>
  <c r="AF133" i="3"/>
  <c r="AC112" i="3"/>
  <c r="BC123" i="3"/>
  <c r="AY123" i="3" s="1"/>
  <c r="CT123" i="3"/>
  <c r="CP123" i="3" s="1"/>
  <c r="G123" i="3"/>
  <c r="CV128" i="3"/>
  <c r="CT135" i="3"/>
  <c r="BQ39" i="3"/>
  <c r="BD56" i="3"/>
  <c r="R58" i="3"/>
  <c r="Z58" i="3"/>
  <c r="CT58" i="3"/>
  <c r="AZ137" i="3"/>
  <c r="BH137" i="3"/>
  <c r="BR59" i="3"/>
  <c r="CG137" i="3"/>
  <c r="R137" i="3"/>
  <c r="BJ64" i="3"/>
  <c r="BJ137" i="3" s="1"/>
  <c r="R91" i="3"/>
  <c r="BH91" i="3"/>
  <c r="AE140" i="3"/>
  <c r="AE108" i="3"/>
  <c r="AE130" i="3" s="1"/>
  <c r="AZ104" i="3"/>
  <c r="AC104" i="3"/>
  <c r="G109" i="3"/>
  <c r="BJ128" i="3"/>
  <c r="BJ132" i="3"/>
  <c r="AG132" i="3"/>
  <c r="AG139" i="3" s="1"/>
  <c r="AG141" i="3" s="1"/>
  <c r="BB110" i="3"/>
  <c r="BC122" i="3"/>
  <c r="AY122" i="3" s="1"/>
  <c r="CT122" i="3"/>
  <c r="CP122" i="3" s="1"/>
  <c r="G122" i="3"/>
  <c r="AB122" i="3" s="1"/>
  <c r="AX122" i="3" s="1"/>
  <c r="K128" i="3"/>
  <c r="AY124" i="3"/>
  <c r="BK15" i="3"/>
  <c r="BK20" i="3" s="1"/>
  <c r="H130" i="3"/>
  <c r="Y130" i="3"/>
  <c r="BB135" i="3"/>
  <c r="BW135" i="3"/>
  <c r="CV135" i="3"/>
  <c r="DD26" i="3"/>
  <c r="CP26" i="3" s="1"/>
  <c r="DI51" i="3"/>
  <c r="CP51" i="3" s="1"/>
  <c r="CV58" i="3"/>
  <c r="BB137" i="3"/>
  <c r="DC91" i="3"/>
  <c r="AB61" i="3"/>
  <c r="AX61" i="3" s="1"/>
  <c r="AH137" i="3"/>
  <c r="CP68" i="3"/>
  <c r="AB75" i="3"/>
  <c r="AX75" i="3" s="1"/>
  <c r="CP75" i="3"/>
  <c r="BK82" i="3"/>
  <c r="AY82" i="3" s="1"/>
  <c r="BC83" i="3"/>
  <c r="AY83" i="3" s="1"/>
  <c r="AC83" i="3"/>
  <c r="CP85" i="3"/>
  <c r="BC89" i="3"/>
  <c r="AY89" i="3" s="1"/>
  <c r="AC89" i="3"/>
  <c r="BL91" i="3"/>
  <c r="DG108" i="3"/>
  <c r="AC101" i="3"/>
  <c r="BN101" i="3"/>
  <c r="AY101" i="3" s="1"/>
  <c r="J128" i="3"/>
  <c r="J130" i="3" s="1"/>
  <c r="J132" i="3"/>
  <c r="J139" i="3" s="1"/>
  <c r="J141" i="3" s="1"/>
  <c r="CS109" i="3"/>
  <c r="BB109" i="3"/>
  <c r="BL132" i="3"/>
  <c r="G112" i="3"/>
  <c r="BA113" i="3"/>
  <c r="AY113" i="3" s="1"/>
  <c r="G113" i="3"/>
  <c r="CR113" i="3"/>
  <c r="CP113" i="3" s="1"/>
  <c r="G119" i="3"/>
  <c r="CR119" i="3"/>
  <c r="CP119" i="3" s="1"/>
  <c r="BA119" i="3"/>
  <c r="BT126" i="3"/>
  <c r="CT126" i="3"/>
  <c r="CP126" i="3" s="1"/>
  <c r="AG128" i="3"/>
  <c r="AG130" i="3" s="1"/>
  <c r="AG142" i="3" s="1"/>
  <c r="V140" i="3"/>
  <c r="V141" i="3" s="1"/>
  <c r="G93" i="3"/>
  <c r="AB93" i="3" s="1"/>
  <c r="AX93" i="3" s="1"/>
  <c r="BB140" i="3"/>
  <c r="BB108" i="3"/>
  <c r="BJ140" i="3"/>
  <c r="BJ108" i="3"/>
  <c r="CJ140" i="3"/>
  <c r="CV140" i="3"/>
  <c r="AW140" i="3"/>
  <c r="CP100" i="3"/>
  <c r="BV140" i="3"/>
  <c r="CQ104" i="3"/>
  <c r="CQ108" i="3" s="1"/>
  <c r="BV108" i="3"/>
  <c r="BV130" i="3" s="1"/>
  <c r="CR110" i="3"/>
  <c r="BT110" i="3"/>
  <c r="BI111" i="3"/>
  <c r="AY111" i="3" s="1"/>
  <c r="CZ111" i="3"/>
  <c r="BQ133" i="3"/>
  <c r="CX133" i="3"/>
  <c r="AE139" i="3"/>
  <c r="CX132" i="3"/>
  <c r="BD140" i="3"/>
  <c r="BL140" i="3"/>
  <c r="CX140" i="3"/>
  <c r="CX108" i="3"/>
  <c r="DG140" i="3"/>
  <c r="AY100" i="3"/>
  <c r="CI140" i="3"/>
  <c r="CI108" i="3"/>
  <c r="AF108" i="3"/>
  <c r="AW108" i="3"/>
  <c r="Z132" i="3"/>
  <c r="Z128" i="3"/>
  <c r="BD128" i="3"/>
  <c r="BD132" i="3"/>
  <c r="CE133" i="3"/>
  <c r="CZ115" i="3"/>
  <c r="CN115" i="3"/>
  <c r="DI115" i="3" s="1"/>
  <c r="BN132" i="3"/>
  <c r="BG137" i="3"/>
  <c r="BQ137" i="3"/>
  <c r="CQ137" i="3"/>
  <c r="CY137" i="3"/>
  <c r="DH137" i="3"/>
  <c r="DH91" i="3"/>
  <c r="DB62" i="3"/>
  <c r="BF140" i="3"/>
  <c r="BN93" i="3"/>
  <c r="CZ140" i="3"/>
  <c r="CZ108" i="3"/>
  <c r="AF128" i="3"/>
  <c r="AF132" i="3"/>
  <c r="AC109" i="3"/>
  <c r="DD132" i="3"/>
  <c r="DD128" i="3"/>
  <c r="CQ133" i="3"/>
  <c r="BP138" i="3"/>
  <c r="BP128" i="3"/>
  <c r="Z137" i="3"/>
  <c r="BA137" i="3"/>
  <c r="BI137" i="3"/>
  <c r="CS137" i="3"/>
  <c r="DA137" i="3"/>
  <c r="BH140" i="3"/>
  <c r="U140" i="3"/>
  <c r="U108" i="3"/>
  <c r="BM98" i="3"/>
  <c r="AY98" i="3" s="1"/>
  <c r="BN104" i="3"/>
  <c r="G104" i="3"/>
  <c r="DE104" i="3"/>
  <c r="AZ132" i="3"/>
  <c r="AZ128" i="3"/>
  <c r="BD133" i="3"/>
  <c r="G118" i="3"/>
  <c r="DI118" i="3"/>
  <c r="CP118" i="3" s="1"/>
  <c r="BR118" i="3"/>
  <c r="AY118" i="3" s="1"/>
  <c r="CP127" i="3"/>
  <c r="P139" i="3"/>
  <c r="P141" i="3" s="1"/>
  <c r="BW128" i="3"/>
  <c r="CU128" i="3"/>
  <c r="DC132" i="3"/>
  <c r="CR112" i="3"/>
  <c r="I133" i="3"/>
  <c r="DC133" i="3"/>
  <c r="BA115" i="3"/>
  <c r="AC115" i="3"/>
  <c r="G116" i="3"/>
  <c r="DI116" i="3"/>
  <c r="CP116" i="3" s="1"/>
  <c r="BS124" i="3"/>
  <c r="CO124" i="3" s="1"/>
  <c r="BC127" i="3"/>
  <c r="AC127" i="3"/>
  <c r="G96" i="3"/>
  <c r="AB96" i="3" s="1"/>
  <c r="AX96" i="3" s="1"/>
  <c r="BT101" i="3"/>
  <c r="BT106" i="3"/>
  <c r="AW132" i="3"/>
  <c r="AW128" i="3"/>
  <c r="BE109" i="3"/>
  <c r="BM132" i="3"/>
  <c r="DE128" i="3"/>
  <c r="AN128" i="3"/>
  <c r="AN130" i="3" s="1"/>
  <c r="AN132" i="3"/>
  <c r="AN139" i="3" s="1"/>
  <c r="AN141" i="3" s="1"/>
  <c r="BX132" i="3"/>
  <c r="BX139" i="3" s="1"/>
  <c r="BX141" i="3" s="1"/>
  <c r="CV133" i="3"/>
  <c r="DE133" i="3"/>
  <c r="AB114" i="3"/>
  <c r="AX114" i="3" s="1"/>
  <c r="AY125" i="3"/>
  <c r="BS125" i="3"/>
  <c r="CO125" i="3" s="1"/>
  <c r="AB126" i="3"/>
  <c r="AX126" i="3" s="1"/>
  <c r="Z140" i="3"/>
  <c r="N128" i="3"/>
  <c r="N130" i="3" s="1"/>
  <c r="N132" i="3"/>
  <c r="N139" i="3" s="1"/>
  <c r="N141" i="3" s="1"/>
  <c r="BF109" i="3"/>
  <c r="BN137" i="3"/>
  <c r="CE132" i="3"/>
  <c r="CE128" i="3"/>
  <c r="CE130" i="3" s="1"/>
  <c r="BA112" i="3"/>
  <c r="BW133" i="3"/>
  <c r="BT112" i="3"/>
  <c r="CW133" i="3"/>
  <c r="G117" i="3"/>
  <c r="DI117" i="3"/>
  <c r="CP117" i="3" s="1"/>
  <c r="H139" i="3"/>
  <c r="H141" i="3" s="1"/>
  <c r="DG132" i="3"/>
  <c r="BI140" i="3"/>
  <c r="CT140" i="3"/>
  <c r="DB140" i="3"/>
  <c r="BA107" i="3"/>
  <c r="CT108" i="3"/>
  <c r="DB108" i="3"/>
  <c r="O132" i="3"/>
  <c r="O139" i="3" s="1"/>
  <c r="O141" i="3" s="1"/>
  <c r="O128" i="3"/>
  <c r="O130" i="3" s="1"/>
  <c r="O142" i="3" s="1"/>
  <c r="BG109" i="3"/>
  <c r="BQ128" i="3"/>
  <c r="CQ128" i="3"/>
  <c r="CY132" i="3"/>
  <c r="DH132" i="3"/>
  <c r="DH128" i="3"/>
  <c r="G111" i="3"/>
  <c r="BS111" i="3" s="1"/>
  <c r="CO111" i="3" s="1"/>
  <c r="CS111" i="3"/>
  <c r="DH133" i="3"/>
  <c r="BR116" i="3"/>
  <c r="AY116" i="3" s="1"/>
  <c r="CG133" i="3"/>
  <c r="BT120" i="3"/>
  <c r="CG128" i="3"/>
  <c r="AQ138" i="3"/>
  <c r="AQ128" i="3"/>
  <c r="AC121" i="3"/>
  <c r="BY128" i="3"/>
  <c r="BB133" i="3"/>
  <c r="BJ133" i="3"/>
  <c r="AT139" i="3"/>
  <c r="AT141" i="3" s="1"/>
  <c r="Z133" i="3"/>
  <c r="AU138" i="3"/>
  <c r="AU139" i="3" s="1"/>
  <c r="AU141" i="3" s="1"/>
  <c r="AU128" i="3"/>
  <c r="AU130" i="3" s="1"/>
  <c r="DF139" i="3"/>
  <c r="DF141" i="3" s="1"/>
  <c r="BF133" i="3"/>
  <c r="BN133" i="3"/>
  <c r="DG133" i="3"/>
  <c r="AZ133" i="3"/>
  <c r="BH133" i="3"/>
  <c r="BR112" i="3"/>
  <c r="T138" i="3"/>
  <c r="T139" i="3" s="1"/>
  <c r="T141" i="3" s="1"/>
  <c r="T128" i="3"/>
  <c r="T130" i="3" s="1"/>
  <c r="DG121" i="3"/>
  <c r="DG138" i="3" s="1"/>
  <c r="Y139" i="3"/>
  <c r="Y141" i="3" s="1"/>
  <c r="CJ139" i="3"/>
  <c r="X139" i="3"/>
  <c r="X141" i="3" s="1"/>
  <c r="BV139" i="3"/>
  <c r="BV141" i="3" s="1"/>
  <c r="CD139" i="3"/>
  <c r="CD141" i="3" s="1"/>
  <c r="CD142" i="3" s="1"/>
  <c r="CL139" i="3"/>
  <c r="CL141" i="3" s="1"/>
  <c r="BK58" i="3" l="1"/>
  <c r="CP6" i="3"/>
  <c r="CU58" i="3"/>
  <c r="CP38" i="3"/>
  <c r="BA132" i="3"/>
  <c r="BM128" i="3"/>
  <c r="AY119" i="3"/>
  <c r="AY5" i="3"/>
  <c r="L130" i="3"/>
  <c r="CR108" i="3"/>
  <c r="DD108" i="3"/>
  <c r="CN58" i="3"/>
  <c r="CI130" i="3"/>
  <c r="CO104" i="4"/>
  <c r="DO104" i="4"/>
  <c r="CO80" i="4"/>
  <c r="DO80" i="4"/>
  <c r="BS89" i="4"/>
  <c r="DN89" i="4"/>
  <c r="CO81" i="4"/>
  <c r="DO81" i="4"/>
  <c r="AS141" i="3"/>
  <c r="DH135" i="4"/>
  <c r="CP96" i="4"/>
  <c r="CP108" i="4" s="1"/>
  <c r="BS53" i="4"/>
  <c r="CO53" i="4" s="1"/>
  <c r="DN53" i="4"/>
  <c r="BS126" i="4"/>
  <c r="DN126" i="4"/>
  <c r="BL138" i="3"/>
  <c r="AY138" i="3" s="1"/>
  <c r="DI52" i="3"/>
  <c r="CP52" i="3" s="1"/>
  <c r="CT64" i="3"/>
  <c r="CP64" i="3" s="1"/>
  <c r="CG20" i="3"/>
  <c r="CG130" i="3" s="1"/>
  <c r="DI140" i="3"/>
  <c r="BY91" i="3"/>
  <c r="CO117" i="4"/>
  <c r="DO117" i="4"/>
  <c r="CO95" i="4"/>
  <c r="DO95" i="4"/>
  <c r="BK135" i="4"/>
  <c r="DA135" i="4"/>
  <c r="DA139" i="4" s="1"/>
  <c r="DA141" i="4" s="1"/>
  <c r="BS114" i="4"/>
  <c r="DN114" i="4"/>
  <c r="BS45" i="4"/>
  <c r="CO45" i="4" s="1"/>
  <c r="DN45" i="4"/>
  <c r="BS57" i="4"/>
  <c r="CO57" i="4" s="1"/>
  <c r="DN57" i="4"/>
  <c r="BS86" i="4"/>
  <c r="DN86" i="4"/>
  <c r="BS51" i="4"/>
  <c r="CO51" i="4" s="1"/>
  <c r="DN51" i="4"/>
  <c r="CO73" i="4"/>
  <c r="DO73" i="4"/>
  <c r="CO118" i="4"/>
  <c r="DO118" i="4"/>
  <c r="CO65" i="4"/>
  <c r="DO65" i="4"/>
  <c r="AO139" i="3"/>
  <c r="AO141" i="3" s="1"/>
  <c r="CN135" i="3"/>
  <c r="CO97" i="4"/>
  <c r="DO97" i="4"/>
  <c r="CO93" i="4"/>
  <c r="DO93" i="4"/>
  <c r="BR140" i="3"/>
  <c r="CO125" i="4"/>
  <c r="DO125" i="4"/>
  <c r="CO100" i="4"/>
  <c r="DO100" i="4"/>
  <c r="CZ128" i="4"/>
  <c r="BS22" i="4"/>
  <c r="CO22" i="4" s="1"/>
  <c r="CO98" i="4"/>
  <c r="DO98" i="4"/>
  <c r="DN106" i="4"/>
  <c r="BS106" i="4"/>
  <c r="BS66" i="4"/>
  <c r="DN66" i="4"/>
  <c r="CO94" i="4"/>
  <c r="DO94" i="4"/>
  <c r="CO78" i="4"/>
  <c r="DO78" i="4"/>
  <c r="CP109" i="3"/>
  <c r="CO60" i="4"/>
  <c r="DO60" i="4"/>
  <c r="BS36" i="4"/>
  <c r="CO36" i="4" s="1"/>
  <c r="DN36" i="4"/>
  <c r="BZ130" i="3"/>
  <c r="BZ142" i="3" s="1"/>
  <c r="BS56" i="4"/>
  <c r="CO56" i="4" s="1"/>
  <c r="CO70" i="4"/>
  <c r="DO70" i="4"/>
  <c r="BS120" i="4"/>
  <c r="DN120" i="4"/>
  <c r="BS113" i="4"/>
  <c r="DN113" i="4"/>
  <c r="CO77" i="4"/>
  <c r="DO77" i="4"/>
  <c r="BS38" i="4"/>
  <c r="CO38" i="4" s="1"/>
  <c r="DN38" i="4"/>
  <c r="CO116" i="4"/>
  <c r="DO116" i="4"/>
  <c r="BS59" i="4"/>
  <c r="DN59" i="4"/>
  <c r="BY137" i="3"/>
  <c r="BT137" i="3" s="1"/>
  <c r="BO135" i="3"/>
  <c r="BO139" i="3" s="1"/>
  <c r="BO141" i="3" s="1"/>
  <c r="CO119" i="4"/>
  <c r="DO119" i="4"/>
  <c r="BJ137" i="4"/>
  <c r="CO112" i="4"/>
  <c r="DO112" i="4"/>
  <c r="CO61" i="4"/>
  <c r="DO61" i="4"/>
  <c r="CO68" i="4"/>
  <c r="DO68" i="4"/>
  <c r="CO90" i="4"/>
  <c r="DO90" i="4"/>
  <c r="AB111" i="4"/>
  <c r="AX111" i="4" s="1"/>
  <c r="DB128" i="4"/>
  <c r="CY132" i="4"/>
  <c r="CY139" i="4" s="1"/>
  <c r="CY141" i="4" s="1"/>
  <c r="CP111" i="4"/>
  <c r="CA142" i="4"/>
  <c r="BP128" i="4"/>
  <c r="BP130" i="4" s="1"/>
  <c r="AY109" i="4"/>
  <c r="CB142" i="4"/>
  <c r="CI130" i="4"/>
  <c r="CR140" i="4"/>
  <c r="BM108" i="4"/>
  <c r="CP107" i="4"/>
  <c r="CI141" i="4"/>
  <c r="CE142" i="4"/>
  <c r="AY63" i="4"/>
  <c r="DB137" i="4"/>
  <c r="CF139" i="4"/>
  <c r="CF141" i="4" s="1"/>
  <c r="CF142" i="4" s="1"/>
  <c r="BK137" i="4"/>
  <c r="CG130" i="4"/>
  <c r="L139" i="4"/>
  <c r="L141" i="4" s="1"/>
  <c r="V141" i="4"/>
  <c r="AS141" i="4"/>
  <c r="CP32" i="4"/>
  <c r="BQ58" i="4"/>
  <c r="BQ130" i="4" s="1"/>
  <c r="BJ135" i="4"/>
  <c r="BJ139" i="4" s="1"/>
  <c r="BJ141" i="4" s="1"/>
  <c r="CL142" i="4"/>
  <c r="BJ58" i="4"/>
  <c r="BZ139" i="4"/>
  <c r="BZ141" i="4" s="1"/>
  <c r="BA136" i="4"/>
  <c r="U139" i="4"/>
  <c r="U141" i="4" s="1"/>
  <c r="DB136" i="4"/>
  <c r="K139" i="4"/>
  <c r="K141" i="4" s="1"/>
  <c r="DI136" i="4"/>
  <c r="AR141" i="4"/>
  <c r="CP9" i="4"/>
  <c r="CP7" i="4"/>
  <c r="CR136" i="4"/>
  <c r="CP13" i="4"/>
  <c r="BF130" i="4"/>
  <c r="G58" i="4"/>
  <c r="Z130" i="4"/>
  <c r="CC142" i="4"/>
  <c r="DB20" i="4"/>
  <c r="AY39" i="4"/>
  <c r="U130" i="4"/>
  <c r="DG139" i="4"/>
  <c r="DG141" i="4" s="1"/>
  <c r="BT138" i="4"/>
  <c r="BS63" i="4"/>
  <c r="CY130" i="4"/>
  <c r="AY23" i="4"/>
  <c r="CT136" i="4"/>
  <c r="AY15" i="4"/>
  <c r="BR136" i="4"/>
  <c r="BF139" i="4"/>
  <c r="BF141" i="4" s="1"/>
  <c r="DC136" i="4"/>
  <c r="AH139" i="4"/>
  <c r="AH141" i="4" s="1"/>
  <c r="G91" i="4"/>
  <c r="BJ130" i="4"/>
  <c r="DI20" i="4"/>
  <c r="AB47" i="4"/>
  <c r="AX47" i="4" s="1"/>
  <c r="AY13" i="4"/>
  <c r="AY104" i="4"/>
  <c r="BP139" i="4"/>
  <c r="BP141" i="4" s="1"/>
  <c r="DI133" i="4"/>
  <c r="BK128" i="4"/>
  <c r="CD142" i="4"/>
  <c r="BK136" i="4"/>
  <c r="CH130" i="4"/>
  <c r="BT58" i="3"/>
  <c r="CJ141" i="4"/>
  <c r="CJ142" i="4" s="1"/>
  <c r="AY112" i="4"/>
  <c r="DD135" i="4"/>
  <c r="DD139" i="4" s="1"/>
  <c r="DD141" i="4" s="1"/>
  <c r="AI139" i="4"/>
  <c r="AI141" i="4" s="1"/>
  <c r="BT115" i="4"/>
  <c r="DN115" i="4" s="1"/>
  <c r="DE108" i="4"/>
  <c r="DE130" i="4" s="1"/>
  <c r="CM142" i="4"/>
  <c r="AQ139" i="4"/>
  <c r="AQ141" i="4" s="1"/>
  <c r="AC135" i="4"/>
  <c r="CP112" i="3"/>
  <c r="AC134" i="4"/>
  <c r="BX142" i="3"/>
  <c r="CT8" i="3"/>
  <c r="CT134" i="3" s="1"/>
  <c r="BX142" i="4"/>
  <c r="AP139" i="3"/>
  <c r="AP141" i="3" s="1"/>
  <c r="CH139" i="4"/>
  <c r="CH141" i="4" s="1"/>
  <c r="CG139" i="4"/>
  <c r="CG141" i="4" s="1"/>
  <c r="AP139" i="4"/>
  <c r="AP141" i="4" s="1"/>
  <c r="CT128" i="4"/>
  <c r="CR134" i="4"/>
  <c r="BC134" i="4"/>
  <c r="CS132" i="4"/>
  <c r="CS139" i="4" s="1"/>
  <c r="CS141" i="4" s="1"/>
  <c r="CP39" i="4"/>
  <c r="BA140" i="3"/>
  <c r="AU142" i="3"/>
  <c r="BS8" i="3"/>
  <c r="CO8" i="3" s="1"/>
  <c r="AW130" i="4"/>
  <c r="BS48" i="4"/>
  <c r="CO48" i="4" s="1"/>
  <c r="CP120" i="4"/>
  <c r="CS128" i="4"/>
  <c r="CS130" i="4" s="1"/>
  <c r="AQ130" i="4"/>
  <c r="BN139" i="4"/>
  <c r="AC137" i="4"/>
  <c r="AB137" i="4" s="1"/>
  <c r="AX137" i="4" s="1"/>
  <c r="BP139" i="3"/>
  <c r="BP141" i="3" s="1"/>
  <c r="AY103" i="3"/>
  <c r="BR128" i="4"/>
  <c r="BA140" i="4"/>
  <c r="BT136" i="4"/>
  <c r="DN137" i="4" s="1"/>
  <c r="CZ130" i="4"/>
  <c r="BA108" i="4"/>
  <c r="CT91" i="4"/>
  <c r="AB120" i="4"/>
  <c r="AX120" i="4" s="1"/>
  <c r="CR133" i="4"/>
  <c r="CP112" i="4"/>
  <c r="BS102" i="4"/>
  <c r="AC108" i="4"/>
  <c r="AB93" i="4"/>
  <c r="AX93" i="4" s="1"/>
  <c r="CR135" i="4"/>
  <c r="AB68" i="4"/>
  <c r="AX68" i="4" s="1"/>
  <c r="AZ139" i="4"/>
  <c r="AZ141" i="4" s="1"/>
  <c r="AC133" i="4"/>
  <c r="AB109" i="4"/>
  <c r="AX109" i="4" s="1"/>
  <c r="AC128" i="4"/>
  <c r="BH139" i="4"/>
  <c r="BH141" i="4" s="1"/>
  <c r="AY115" i="4"/>
  <c r="BA134" i="4"/>
  <c r="AY8" i="4"/>
  <c r="BC91" i="4"/>
  <c r="BR137" i="4"/>
  <c r="AB123" i="4"/>
  <c r="AX123" i="4" s="1"/>
  <c r="AB115" i="4"/>
  <c r="AX115" i="4" s="1"/>
  <c r="BS121" i="4"/>
  <c r="AB88" i="4"/>
  <c r="AX88" i="4" s="1"/>
  <c r="BO135" i="4"/>
  <c r="BO139" i="4" s="1"/>
  <c r="BO141" i="4" s="1"/>
  <c r="BO58" i="4"/>
  <c r="BO130" i="4" s="1"/>
  <c r="DI128" i="4"/>
  <c r="BN140" i="4"/>
  <c r="BN108" i="4"/>
  <c r="BN130" i="4" s="1"/>
  <c r="AB61" i="4"/>
  <c r="AX61" i="4" s="1"/>
  <c r="DE140" i="4"/>
  <c r="BS62" i="4"/>
  <c r="BR20" i="4"/>
  <c r="BS6" i="4"/>
  <c r="CO6" i="4" s="1"/>
  <c r="CP26" i="4"/>
  <c r="BS41" i="4"/>
  <c r="CO41" i="4" s="1"/>
  <c r="AF130" i="4"/>
  <c r="BL20" i="4"/>
  <c r="BL130" i="4" s="1"/>
  <c r="CT20" i="4"/>
  <c r="AY7" i="4"/>
  <c r="BK133" i="4"/>
  <c r="CN133" i="4"/>
  <c r="BT133" i="4" s="1"/>
  <c r="DN134" i="4" s="1"/>
  <c r="BE132" i="4"/>
  <c r="BE139" i="4" s="1"/>
  <c r="BE141" i="4" s="1"/>
  <c r="BE128" i="4"/>
  <c r="BE130" i="4" s="1"/>
  <c r="AF139" i="4"/>
  <c r="AF141" i="4" s="1"/>
  <c r="AC132" i="4"/>
  <c r="BR133" i="4"/>
  <c r="BS96" i="4"/>
  <c r="AB113" i="4"/>
  <c r="AX113" i="4" s="1"/>
  <c r="BW128" i="4"/>
  <c r="BW130" i="4" s="1"/>
  <c r="BW132" i="4"/>
  <c r="BT109" i="4"/>
  <c r="DN109" i="4" s="1"/>
  <c r="BK91" i="4"/>
  <c r="BK130" i="4" s="1"/>
  <c r="CU137" i="4"/>
  <c r="CU91" i="4"/>
  <c r="CU130" i="4" s="1"/>
  <c r="CP59" i="4"/>
  <c r="AB122" i="4"/>
  <c r="AX122" i="4" s="1"/>
  <c r="AC136" i="4"/>
  <c r="CP63" i="4"/>
  <c r="BS35" i="4"/>
  <c r="CO35" i="4" s="1"/>
  <c r="AB35" i="4"/>
  <c r="AX35" i="4" s="1"/>
  <c r="BR135" i="4"/>
  <c r="BA20" i="4"/>
  <c r="BZ130" i="4"/>
  <c r="CP6" i="4"/>
  <c r="BR58" i="4"/>
  <c r="BG139" i="4"/>
  <c r="BG141" i="4" s="1"/>
  <c r="CR58" i="4"/>
  <c r="DB58" i="4"/>
  <c r="AB21" i="4"/>
  <c r="AX21" i="4" s="1"/>
  <c r="AC58" i="4"/>
  <c r="BS15" i="4"/>
  <c r="CO15" i="4" s="1"/>
  <c r="BS8" i="4"/>
  <c r="CO8" i="4" s="1"/>
  <c r="DA130" i="4"/>
  <c r="AB41" i="4"/>
  <c r="AX41" i="4" s="1"/>
  <c r="AE141" i="4"/>
  <c r="AB79" i="4"/>
  <c r="AX79" i="4" s="1"/>
  <c r="AB50" i="4"/>
  <c r="AX50" i="4" s="1"/>
  <c r="BA58" i="4"/>
  <c r="AB7" i="4"/>
  <c r="AX7" i="4" s="1"/>
  <c r="DD58" i="4"/>
  <c r="DD130" i="4" s="1"/>
  <c r="G132" i="4"/>
  <c r="G128" i="4"/>
  <c r="CV139" i="4"/>
  <c r="CV141" i="4" s="1"/>
  <c r="BT9" i="4"/>
  <c r="BY20" i="4"/>
  <c r="BY130" i="4" s="1"/>
  <c r="AB80" i="4"/>
  <c r="AX80" i="4" s="1"/>
  <c r="BS32" i="4"/>
  <c r="CO32" i="4" s="1"/>
  <c r="BT108" i="4"/>
  <c r="DN108" i="4" s="1"/>
  <c r="AY62" i="4"/>
  <c r="AP130" i="4"/>
  <c r="AB107" i="4"/>
  <c r="AX107" i="4" s="1"/>
  <c r="G135" i="4"/>
  <c r="BS52" i="4"/>
  <c r="CO52" i="4" s="1"/>
  <c r="CU136" i="4"/>
  <c r="AB121" i="4"/>
  <c r="AX121" i="4" s="1"/>
  <c r="BC128" i="4"/>
  <c r="BS83" i="4"/>
  <c r="BR108" i="4"/>
  <c r="BS11" i="4"/>
  <c r="CO11" i="4" s="1"/>
  <c r="CV130" i="4"/>
  <c r="BR91" i="4"/>
  <c r="AB104" i="4"/>
  <c r="AX104" i="4" s="1"/>
  <c r="CR132" i="4"/>
  <c r="CR128" i="4"/>
  <c r="CP109" i="4"/>
  <c r="DI52" i="4"/>
  <c r="DI135" i="4" s="1"/>
  <c r="CN58" i="4"/>
  <c r="AB34" i="4"/>
  <c r="AX34" i="4" s="1"/>
  <c r="BS101" i="4"/>
  <c r="BG130" i="4"/>
  <c r="K130" i="4"/>
  <c r="AB10" i="4"/>
  <c r="AX10" i="4" s="1"/>
  <c r="BS107" i="4"/>
  <c r="BS42" i="4"/>
  <c r="CO42" i="4" s="1"/>
  <c r="AB81" i="4"/>
  <c r="AX81" i="4" s="1"/>
  <c r="BS13" i="4"/>
  <c r="CO13" i="4" s="1"/>
  <c r="AB23" i="4"/>
  <c r="AX23" i="4" s="1"/>
  <c r="BS54" i="4"/>
  <c r="CO54" i="4" s="1"/>
  <c r="BS24" i="4"/>
  <c r="CO24" i="4" s="1"/>
  <c r="BM58" i="4"/>
  <c r="G133" i="4"/>
  <c r="BC108" i="4"/>
  <c r="BS40" i="4"/>
  <c r="CO40" i="4" s="1"/>
  <c r="BS12" i="4"/>
  <c r="CO12" i="4" s="1"/>
  <c r="BS27" i="4"/>
  <c r="CO27" i="4" s="1"/>
  <c r="AB13" i="4"/>
  <c r="AX13" i="4" s="1"/>
  <c r="DB91" i="4"/>
  <c r="CQ130" i="4"/>
  <c r="AC20" i="4"/>
  <c r="BT58" i="4"/>
  <c r="DN58" i="4" s="1"/>
  <c r="AB96" i="4"/>
  <c r="AX96" i="4" s="1"/>
  <c r="G140" i="4"/>
  <c r="AB106" i="4"/>
  <c r="AX106" i="4" s="1"/>
  <c r="BS103" i="4"/>
  <c r="AB103" i="4"/>
  <c r="AX103" i="4" s="1"/>
  <c r="AB63" i="4"/>
  <c r="AX63" i="4" s="1"/>
  <c r="BD91" i="4"/>
  <c r="BD130" i="4" s="1"/>
  <c r="BD137" i="4"/>
  <c r="BD139" i="4" s="1"/>
  <c r="BD141" i="4" s="1"/>
  <c r="BC20" i="4"/>
  <c r="BY134" i="4"/>
  <c r="BR140" i="4"/>
  <c r="AB76" i="4"/>
  <c r="AX76" i="4" s="1"/>
  <c r="AB39" i="4"/>
  <c r="AX39" i="4" s="1"/>
  <c r="AB38" i="4"/>
  <c r="AX38" i="4" s="1"/>
  <c r="BS105" i="4"/>
  <c r="AW139" i="4"/>
  <c r="AW141" i="4" s="1"/>
  <c r="DI137" i="4"/>
  <c r="DI91" i="4"/>
  <c r="BS123" i="4"/>
  <c r="CW139" i="4"/>
  <c r="CW141" i="4" s="1"/>
  <c r="AC140" i="4"/>
  <c r="DE139" i="4"/>
  <c r="DC138" i="4"/>
  <c r="CP138" i="4" s="1"/>
  <c r="CP121" i="4"/>
  <c r="BT64" i="4"/>
  <c r="CT64" i="4"/>
  <c r="BS110" i="4"/>
  <c r="I139" i="4"/>
  <c r="I141" i="4" s="1"/>
  <c r="AB36" i="4"/>
  <c r="AX36" i="4" s="1"/>
  <c r="BS122" i="4"/>
  <c r="BY137" i="4"/>
  <c r="BT137" i="4" s="1"/>
  <c r="DN138" i="4" s="1"/>
  <c r="DH139" i="4"/>
  <c r="DH141" i="4" s="1"/>
  <c r="DH142" i="4" s="1"/>
  <c r="AY32" i="4"/>
  <c r="CT134" i="4"/>
  <c r="BS111" i="4"/>
  <c r="AB56" i="4"/>
  <c r="AX56" i="4" s="1"/>
  <c r="BC136" i="4"/>
  <c r="AB138" i="4"/>
  <c r="AX138" i="4" s="1"/>
  <c r="Z139" i="4"/>
  <c r="Z141" i="4" s="1"/>
  <c r="BS88" i="4"/>
  <c r="BS30" i="4"/>
  <c r="CO30" i="4" s="1"/>
  <c r="BQ139" i="4"/>
  <c r="BQ141" i="4" s="1"/>
  <c r="AY107" i="4"/>
  <c r="AY108" i="4" s="1"/>
  <c r="CP8" i="4"/>
  <c r="CR20" i="4"/>
  <c r="I130" i="4"/>
  <c r="BS23" i="4"/>
  <c r="CO23" i="4" s="1"/>
  <c r="G134" i="4"/>
  <c r="BH130" i="4"/>
  <c r="BM135" i="4"/>
  <c r="BM139" i="4" s="1"/>
  <c r="BM141" i="4" s="1"/>
  <c r="DG130" i="4"/>
  <c r="AI130" i="4"/>
  <c r="CP20" i="4"/>
  <c r="AB127" i="4"/>
  <c r="AX127" i="4" s="1"/>
  <c r="CZ139" i="4"/>
  <c r="CZ141" i="4" s="1"/>
  <c r="BS39" i="4"/>
  <c r="CO39" i="4" s="1"/>
  <c r="CX132" i="4"/>
  <c r="CX139" i="4" s="1"/>
  <c r="CX141" i="4" s="1"/>
  <c r="CX128" i="4"/>
  <c r="CX130" i="4" s="1"/>
  <c r="BS127" i="4"/>
  <c r="BI128" i="4"/>
  <c r="BI130" i="4" s="1"/>
  <c r="BI132" i="4"/>
  <c r="BI139" i="4" s="1"/>
  <c r="BI141" i="4" s="1"/>
  <c r="AC91" i="4"/>
  <c r="AB101" i="4"/>
  <c r="AX101" i="4" s="1"/>
  <c r="DF135" i="4"/>
  <c r="DF139" i="4" s="1"/>
  <c r="DF141" i="4" s="1"/>
  <c r="DF58" i="4"/>
  <c r="DF130" i="4" s="1"/>
  <c r="AB27" i="4"/>
  <c r="AX27" i="4" s="1"/>
  <c r="BB128" i="4"/>
  <c r="BB130" i="4" s="1"/>
  <c r="BB132" i="4"/>
  <c r="BB139" i="4" s="1"/>
  <c r="BB141" i="4" s="1"/>
  <c r="AN139" i="4"/>
  <c r="AN141" i="4" s="1"/>
  <c r="BS72" i="4"/>
  <c r="BC137" i="4"/>
  <c r="BT140" i="4"/>
  <c r="DN140" i="4" s="1"/>
  <c r="AB110" i="4"/>
  <c r="AX110" i="4" s="1"/>
  <c r="DC128" i="4"/>
  <c r="DC130" i="4" s="1"/>
  <c r="CP110" i="4"/>
  <c r="BA132" i="4"/>
  <c r="BA128" i="4"/>
  <c r="AY64" i="4"/>
  <c r="CQ139" i="4"/>
  <c r="CQ141" i="4" s="1"/>
  <c r="AB102" i="4"/>
  <c r="AX102" i="4" s="1"/>
  <c r="BV141" i="4"/>
  <c r="BV142" i="4" s="1"/>
  <c r="CN128" i="4"/>
  <c r="G136" i="4"/>
  <c r="BL138" i="4"/>
  <c r="AY138" i="4" s="1"/>
  <c r="AY121" i="4"/>
  <c r="BS87" i="4"/>
  <c r="CN135" i="4"/>
  <c r="BT135" i="4" s="1"/>
  <c r="DN136" i="4" s="1"/>
  <c r="AB86" i="4"/>
  <c r="AX86" i="4" s="1"/>
  <c r="AZ130" i="4"/>
  <c r="G20" i="4"/>
  <c r="AB5" i="4"/>
  <c r="AX5" i="4" s="1"/>
  <c r="AB15" i="4"/>
  <c r="AX15" i="4" s="1"/>
  <c r="AB90" i="4"/>
  <c r="AX90" i="4" s="1"/>
  <c r="CW130" i="4"/>
  <c r="AH130" i="4"/>
  <c r="DD140" i="3"/>
  <c r="BR128" i="3"/>
  <c r="CL142" i="3"/>
  <c r="AH139" i="3"/>
  <c r="AH141" i="3" s="1"/>
  <c r="CC142" i="3"/>
  <c r="AB81" i="3"/>
  <c r="AX81" i="3" s="1"/>
  <c r="DA130" i="3"/>
  <c r="AB54" i="3"/>
  <c r="AX54" i="3" s="1"/>
  <c r="AY96" i="3"/>
  <c r="CR136" i="3"/>
  <c r="CU135" i="3"/>
  <c r="G135" i="3"/>
  <c r="DG128" i="3"/>
  <c r="DG130" i="3" s="1"/>
  <c r="BT135" i="3"/>
  <c r="BS135" i="3" s="1"/>
  <c r="CO135" i="3" s="1"/>
  <c r="CP111" i="3"/>
  <c r="AB123" i="3"/>
  <c r="AX123" i="3" s="1"/>
  <c r="P142" i="3"/>
  <c r="BV142" i="3"/>
  <c r="BL128" i="3"/>
  <c r="BL130" i="3" s="1"/>
  <c r="R130" i="3"/>
  <c r="CP50" i="3"/>
  <c r="AI139" i="3"/>
  <c r="AI141" i="3" s="1"/>
  <c r="CP5" i="3"/>
  <c r="CP98" i="3"/>
  <c r="BJ58" i="3"/>
  <c r="BS41" i="3"/>
  <c r="CO41" i="3" s="1"/>
  <c r="AB68" i="3"/>
  <c r="AX68" i="3" s="1"/>
  <c r="AY127" i="3"/>
  <c r="AY115" i="3"/>
  <c r="AY110" i="3"/>
  <c r="DE139" i="3"/>
  <c r="BS123" i="3"/>
  <c r="CO123" i="3" s="1"/>
  <c r="BR108" i="3"/>
  <c r="AY56" i="3"/>
  <c r="AC133" i="3"/>
  <c r="CH139" i="3"/>
  <c r="CH141" i="3" s="1"/>
  <c r="CH142" i="3" s="1"/>
  <c r="AC136" i="3"/>
  <c r="DB58" i="3"/>
  <c r="R139" i="3"/>
  <c r="R141" i="3" s="1"/>
  <c r="BR136" i="3"/>
  <c r="CP107" i="3"/>
  <c r="CP115" i="3"/>
  <c r="AP130" i="3"/>
  <c r="G20" i="3"/>
  <c r="BK135" i="3"/>
  <c r="X142" i="3"/>
  <c r="AC138" i="3"/>
  <c r="AB138" i="3" s="1"/>
  <c r="AX138" i="3" s="1"/>
  <c r="BW139" i="3"/>
  <c r="BW141" i="3" s="1"/>
  <c r="DI108" i="3"/>
  <c r="AF139" i="3"/>
  <c r="AF141" i="3" s="1"/>
  <c r="AY39" i="3"/>
  <c r="DC136" i="3"/>
  <c r="DI136" i="3"/>
  <c r="BY134" i="3"/>
  <c r="BT134" i="3" s="1"/>
  <c r="AY50" i="3"/>
  <c r="BS15" i="3"/>
  <c r="CO15" i="3" s="1"/>
  <c r="AB40" i="3"/>
  <c r="AX40" i="3" s="1"/>
  <c r="AC137" i="3"/>
  <c r="AC134" i="3"/>
  <c r="BS113" i="3"/>
  <c r="CO113" i="3" s="1"/>
  <c r="AW139" i="3"/>
  <c r="AW141" i="3" s="1"/>
  <c r="DB137" i="3"/>
  <c r="CP110" i="3"/>
  <c r="BJ135" i="3"/>
  <c r="BJ139" i="3" s="1"/>
  <c r="BJ141" i="3" s="1"/>
  <c r="R142" i="3"/>
  <c r="CZ133" i="3"/>
  <c r="AO130" i="3"/>
  <c r="AO142" i="3" s="1"/>
  <c r="AB60" i="3"/>
  <c r="AX60" i="3" s="1"/>
  <c r="AB42" i="3"/>
  <c r="AX42" i="3" s="1"/>
  <c r="G136" i="3"/>
  <c r="CP96" i="3"/>
  <c r="BW130" i="3"/>
  <c r="BT9" i="3"/>
  <c r="BS9" i="3" s="1"/>
  <c r="CO9" i="3" s="1"/>
  <c r="CA142" i="3"/>
  <c r="L142" i="3"/>
  <c r="CG136" i="3"/>
  <c r="CG139" i="3" s="1"/>
  <c r="CG141" i="3" s="1"/>
  <c r="DB15" i="3"/>
  <c r="CY139" i="3"/>
  <c r="CY141" i="3" s="1"/>
  <c r="AB113" i="3"/>
  <c r="AX113" i="3" s="1"/>
  <c r="BR134" i="3"/>
  <c r="T142" i="3"/>
  <c r="AB117" i="3"/>
  <c r="AX117" i="3" s="1"/>
  <c r="BS127" i="3"/>
  <c r="CO127" i="3" s="1"/>
  <c r="BM108" i="3"/>
  <c r="AY107" i="3"/>
  <c r="BD58" i="3"/>
  <c r="BS93" i="3"/>
  <c r="CO93" i="3" s="1"/>
  <c r="BS107" i="3"/>
  <c r="CO107" i="3" s="1"/>
  <c r="CT91" i="3"/>
  <c r="I130" i="3"/>
  <c r="AY15" i="3"/>
  <c r="AR142" i="3"/>
  <c r="BC108" i="3"/>
  <c r="DI20" i="3"/>
  <c r="CF130" i="3"/>
  <c r="CF142" i="3" s="1"/>
  <c r="AF130" i="3"/>
  <c r="BS122" i="3"/>
  <c r="CO122" i="3" s="1"/>
  <c r="I139" i="3"/>
  <c r="I141" i="3" s="1"/>
  <c r="I142" i="3" s="1"/>
  <c r="BK128" i="3"/>
  <c r="U130" i="3"/>
  <c r="U142" i="3" s="1"/>
  <c r="AB103" i="3"/>
  <c r="AX103" i="3" s="1"/>
  <c r="AY120" i="3"/>
  <c r="AY104" i="3"/>
  <c r="BH139" i="3"/>
  <c r="BH141" i="3" s="1"/>
  <c r="AH130" i="3"/>
  <c r="AH142" i="3" s="1"/>
  <c r="AY7" i="3"/>
  <c r="CU20" i="3"/>
  <c r="AK142" i="3"/>
  <c r="BS26" i="3"/>
  <c r="CO26" i="3" s="1"/>
  <c r="AB80" i="3"/>
  <c r="AX80" i="3" s="1"/>
  <c r="AB32" i="3"/>
  <c r="AX32" i="3" s="1"/>
  <c r="BT102" i="3"/>
  <c r="DE102" i="3"/>
  <c r="CP102" i="3" s="1"/>
  <c r="AN142" i="3"/>
  <c r="BY20" i="3"/>
  <c r="BY130" i="3" s="1"/>
  <c r="BS117" i="3"/>
  <c r="CO117" i="3" s="1"/>
  <c r="BR133" i="3"/>
  <c r="N142" i="3"/>
  <c r="BR132" i="3"/>
  <c r="AB107" i="3"/>
  <c r="AX107" i="3" s="1"/>
  <c r="BM135" i="3"/>
  <c r="BM139" i="3" s="1"/>
  <c r="BM141" i="3" s="1"/>
  <c r="CR132" i="3"/>
  <c r="AW130" i="3"/>
  <c r="AB6" i="3"/>
  <c r="AX6" i="3" s="1"/>
  <c r="CR58" i="3"/>
  <c r="BS32" i="3"/>
  <c r="CO32" i="3" s="1"/>
  <c r="DI133" i="3"/>
  <c r="DI128" i="3"/>
  <c r="BE132" i="3"/>
  <c r="BE139" i="3" s="1"/>
  <c r="BE141" i="3" s="1"/>
  <c r="BE128" i="3"/>
  <c r="BE130" i="3" s="1"/>
  <c r="AB121" i="3"/>
  <c r="AX121" i="3" s="1"/>
  <c r="AQ139" i="3"/>
  <c r="AQ141" i="3" s="1"/>
  <c r="BS118" i="3"/>
  <c r="CO118" i="3" s="1"/>
  <c r="BS112" i="3"/>
  <c r="CO112" i="3" s="1"/>
  <c r="BF132" i="3"/>
  <c r="BF139" i="3" s="1"/>
  <c r="BF141" i="3" s="1"/>
  <c r="BF128" i="3"/>
  <c r="BF130" i="3" s="1"/>
  <c r="BF142" i="3" s="1"/>
  <c r="AB116" i="3"/>
  <c r="AX116" i="3" s="1"/>
  <c r="BS110" i="3"/>
  <c r="CO110" i="3" s="1"/>
  <c r="BB128" i="3"/>
  <c r="BB130" i="3" s="1"/>
  <c r="BB132" i="3"/>
  <c r="BB139" i="3" s="1"/>
  <c r="BB141" i="3" s="1"/>
  <c r="AC140" i="3"/>
  <c r="AB112" i="3"/>
  <c r="AX112" i="3" s="1"/>
  <c r="BQ58" i="3"/>
  <c r="BQ130" i="3" s="1"/>
  <c r="CN128" i="3"/>
  <c r="CN130" i="3" s="1"/>
  <c r="CT137" i="3"/>
  <c r="BK136" i="3"/>
  <c r="BR58" i="3"/>
  <c r="BS13" i="3"/>
  <c r="CO13" i="3" s="1"/>
  <c r="DC138" i="3"/>
  <c r="CP138" i="3" s="1"/>
  <c r="CP121" i="3"/>
  <c r="CR135" i="3"/>
  <c r="CW130" i="3"/>
  <c r="BS96" i="3"/>
  <c r="CO96" i="3" s="1"/>
  <c r="AB31" i="3"/>
  <c r="AX31" i="3" s="1"/>
  <c r="BS28" i="3"/>
  <c r="CO28" i="3" s="1"/>
  <c r="BS38" i="3"/>
  <c r="CO38" i="3" s="1"/>
  <c r="BS24" i="3"/>
  <c r="CO24" i="3" s="1"/>
  <c r="BS4" i="3"/>
  <c r="CO4" i="3" s="1"/>
  <c r="CP62" i="3"/>
  <c r="DD58" i="3"/>
  <c r="DD130" i="3" s="1"/>
  <c r="BC128" i="3"/>
  <c r="AY64" i="3"/>
  <c r="BC137" i="3"/>
  <c r="AB37" i="3"/>
  <c r="AX37" i="3" s="1"/>
  <c r="AC132" i="3"/>
  <c r="BS106" i="3"/>
  <c r="CO106" i="3" s="1"/>
  <c r="AB115" i="3"/>
  <c r="AX115" i="3" s="1"/>
  <c r="DC128" i="3"/>
  <c r="DC130" i="3" s="1"/>
  <c r="AZ140" i="3"/>
  <c r="BT132" i="3"/>
  <c r="AB119" i="3"/>
  <c r="AX119" i="3" s="1"/>
  <c r="BS119" i="3"/>
  <c r="CO119" i="3" s="1"/>
  <c r="CS128" i="3"/>
  <c r="CS130" i="3" s="1"/>
  <c r="CS132" i="3"/>
  <c r="DD135" i="3"/>
  <c r="DD139" i="3" s="1"/>
  <c r="Y142" i="3"/>
  <c r="BR137" i="3"/>
  <c r="BR91" i="3"/>
  <c r="BQ135" i="3"/>
  <c r="BQ139" i="3" s="1"/>
  <c r="BQ141" i="3" s="1"/>
  <c r="BD135" i="3"/>
  <c r="BC136" i="3"/>
  <c r="AB79" i="3"/>
  <c r="AX79" i="3" s="1"/>
  <c r="AB64" i="3"/>
  <c r="AX64" i="3" s="1"/>
  <c r="BS47" i="3"/>
  <c r="CO47" i="3" s="1"/>
  <c r="BR135" i="3"/>
  <c r="BR20" i="3"/>
  <c r="BS121" i="3"/>
  <c r="CO121" i="3" s="1"/>
  <c r="BK91" i="3"/>
  <c r="BK130" i="3" s="1"/>
  <c r="BM58" i="3"/>
  <c r="Z130" i="3"/>
  <c r="BP130" i="3"/>
  <c r="CR128" i="3"/>
  <c r="AB43" i="3"/>
  <c r="AX43" i="3" s="1"/>
  <c r="AV142" i="3"/>
  <c r="CP37" i="3"/>
  <c r="AB28" i="3"/>
  <c r="AX28" i="3" s="1"/>
  <c r="V142" i="3"/>
  <c r="AB9" i="3"/>
  <c r="AX9" i="3" s="1"/>
  <c r="BL136" i="3"/>
  <c r="BS30" i="3"/>
  <c r="CO30" i="3" s="1"/>
  <c r="BS42" i="3"/>
  <c r="CO42" i="3" s="1"/>
  <c r="CV130" i="3"/>
  <c r="AY8" i="3"/>
  <c r="CP63" i="3"/>
  <c r="BH130" i="3"/>
  <c r="AY9" i="3"/>
  <c r="CP13" i="3"/>
  <c r="BA133" i="3"/>
  <c r="AY112" i="3"/>
  <c r="BS101" i="3"/>
  <c r="CO101" i="3" s="1"/>
  <c r="AC128" i="3"/>
  <c r="AB109" i="3"/>
  <c r="AX109" i="3" s="1"/>
  <c r="BN140" i="3"/>
  <c r="BN108" i="3"/>
  <c r="BN130" i="3" s="1"/>
  <c r="AB89" i="3"/>
  <c r="AX89" i="3" s="1"/>
  <c r="CZ132" i="3"/>
  <c r="CZ128" i="3"/>
  <c r="CZ130" i="3" s="1"/>
  <c r="AS142" i="3"/>
  <c r="AB97" i="3"/>
  <c r="AX97" i="3" s="1"/>
  <c r="BK137" i="3"/>
  <c r="AB12" i="3"/>
  <c r="AX12" i="3" s="1"/>
  <c r="DI91" i="3"/>
  <c r="AB8" i="3"/>
  <c r="AX8" i="3" s="1"/>
  <c r="BS83" i="3"/>
  <c r="CO83" i="3" s="1"/>
  <c r="BS59" i="3"/>
  <c r="CO59" i="3" s="1"/>
  <c r="BT91" i="3"/>
  <c r="BS14" i="3"/>
  <c r="CO14" i="3" s="1"/>
  <c r="AY93" i="3"/>
  <c r="BC134" i="3"/>
  <c r="BC20" i="3"/>
  <c r="AB56" i="3"/>
  <c r="AX56" i="3" s="1"/>
  <c r="AB57" i="3"/>
  <c r="AX57" i="3" s="1"/>
  <c r="CR20" i="3"/>
  <c r="CN133" i="3"/>
  <c r="BT133" i="3" s="1"/>
  <c r="BS116" i="3"/>
  <c r="CO116" i="3" s="1"/>
  <c r="CP104" i="3"/>
  <c r="BJ91" i="3"/>
  <c r="H142" i="3"/>
  <c r="AY59" i="3"/>
  <c r="BI128" i="3"/>
  <c r="BI130" i="3" s="1"/>
  <c r="BI132" i="3"/>
  <c r="BI139" i="3" s="1"/>
  <c r="BI141" i="3" s="1"/>
  <c r="BS89" i="3"/>
  <c r="CO89" i="3" s="1"/>
  <c r="AB65" i="3"/>
  <c r="AX65" i="3" s="1"/>
  <c r="CI141" i="3"/>
  <c r="CI142" i="3" s="1"/>
  <c r="CT128" i="3"/>
  <c r="BA135" i="3"/>
  <c r="BA58" i="3"/>
  <c r="AB78" i="3"/>
  <c r="AX78" i="3" s="1"/>
  <c r="CM142" i="3"/>
  <c r="BS138" i="3"/>
  <c r="CO138" i="3" s="1"/>
  <c r="BD137" i="3"/>
  <c r="BD91" i="3"/>
  <c r="CQ140" i="3"/>
  <c r="BA108" i="3"/>
  <c r="BS80" i="3"/>
  <c r="CO80" i="3" s="1"/>
  <c r="DI137" i="3"/>
  <c r="AB7" i="3"/>
  <c r="AX7" i="3" s="1"/>
  <c r="BS19" i="3"/>
  <c r="CO19" i="3" s="1"/>
  <c r="BS6" i="3"/>
  <c r="CO6" i="3" s="1"/>
  <c r="BS39" i="3"/>
  <c r="CO39" i="3" s="1"/>
  <c r="BS37" i="3"/>
  <c r="CO37" i="3" s="1"/>
  <c r="BS63" i="3"/>
  <c r="CO63" i="3" s="1"/>
  <c r="AB36" i="3"/>
  <c r="AX36" i="3" s="1"/>
  <c r="DH58" i="3"/>
  <c r="DH130" i="3" s="1"/>
  <c r="BS120" i="3"/>
  <c r="CO120" i="3" s="1"/>
  <c r="BG132" i="3"/>
  <c r="BG139" i="3" s="1"/>
  <c r="BG141" i="3" s="1"/>
  <c r="BG128" i="3"/>
  <c r="BG130" i="3" s="1"/>
  <c r="AY109" i="3"/>
  <c r="BN139" i="3"/>
  <c r="BT140" i="3"/>
  <c r="G132" i="3"/>
  <c r="G128" i="3"/>
  <c r="BS104" i="3"/>
  <c r="CO104" i="3" s="1"/>
  <c r="BS71" i="3"/>
  <c r="CO71" i="3" s="1"/>
  <c r="AB71" i="3"/>
  <c r="AX71" i="3" s="1"/>
  <c r="J142" i="3"/>
  <c r="BS86" i="3"/>
  <c r="CO86" i="3" s="1"/>
  <c r="AB77" i="3"/>
  <c r="AX77" i="3" s="1"/>
  <c r="CU137" i="3"/>
  <c r="CU91" i="3"/>
  <c r="CP59" i="3"/>
  <c r="AC58" i="3"/>
  <c r="AB21" i="3"/>
  <c r="AX21" i="3" s="1"/>
  <c r="BS109" i="3"/>
  <c r="CO109" i="3" s="1"/>
  <c r="AB34" i="3"/>
  <c r="AX34" i="3" s="1"/>
  <c r="BS25" i="3"/>
  <c r="CO25" i="3" s="1"/>
  <c r="AB35" i="3"/>
  <c r="AX35" i="3" s="1"/>
  <c r="G58" i="3"/>
  <c r="BS98" i="3"/>
  <c r="CO98" i="3" s="1"/>
  <c r="AB41" i="3"/>
  <c r="AX41" i="3" s="1"/>
  <c r="DH135" i="3"/>
  <c r="BS5" i="3"/>
  <c r="CO5" i="3" s="1"/>
  <c r="AB111" i="3"/>
  <c r="AX111" i="3" s="1"/>
  <c r="CE139" i="3"/>
  <c r="CE141" i="3" s="1"/>
  <c r="CE142" i="3" s="1"/>
  <c r="AB127" i="3"/>
  <c r="AX127" i="3" s="1"/>
  <c r="BT115" i="3"/>
  <c r="Z139" i="3"/>
  <c r="Z141" i="3" s="1"/>
  <c r="CX139" i="3"/>
  <c r="CX141" i="3" s="1"/>
  <c r="BS126" i="3"/>
  <c r="CO126" i="3" s="1"/>
  <c r="G133" i="3"/>
  <c r="AB104" i="3"/>
  <c r="AX104" i="3" s="1"/>
  <c r="Q139" i="3"/>
  <c r="Q141" i="3" s="1"/>
  <c r="Q142" i="3" s="1"/>
  <c r="BA20" i="3"/>
  <c r="BS103" i="3"/>
  <c r="CO103" i="3" s="1"/>
  <c r="AC135" i="3"/>
  <c r="CY130" i="3"/>
  <c r="BS64" i="3"/>
  <c r="CO64" i="3" s="1"/>
  <c r="DB135" i="3"/>
  <c r="AY13" i="3"/>
  <c r="CP9" i="3"/>
  <c r="BS23" i="3"/>
  <c r="CO23" i="3" s="1"/>
  <c r="AC91" i="3"/>
  <c r="AB59" i="3"/>
  <c r="AX59" i="3" s="1"/>
  <c r="G134" i="3"/>
  <c r="DB91" i="3"/>
  <c r="BD20" i="3"/>
  <c r="AZ139" i="3"/>
  <c r="AB118" i="3"/>
  <c r="AX118" i="3" s="1"/>
  <c r="BA128" i="3"/>
  <c r="AB102" i="3"/>
  <c r="AX102" i="3" s="1"/>
  <c r="DA139" i="3"/>
  <c r="DA141" i="3" s="1"/>
  <c r="S142" i="3"/>
  <c r="AC108" i="3"/>
  <c r="G137" i="3"/>
  <c r="G91" i="3"/>
  <c r="DF142" i="3"/>
  <c r="AB13" i="3"/>
  <c r="AX13" i="3" s="1"/>
  <c r="BS27" i="3"/>
  <c r="CO27" i="3" s="1"/>
  <c r="AC20" i="3"/>
  <c r="AB5" i="3"/>
  <c r="AX5" i="3" s="1"/>
  <c r="CT136" i="3"/>
  <c r="AB14" i="3"/>
  <c r="AX14" i="3" s="1"/>
  <c r="CJ141" i="3"/>
  <c r="CJ142" i="3" s="1"/>
  <c r="DG139" i="3"/>
  <c r="DG141" i="3" s="1"/>
  <c r="CR133" i="3"/>
  <c r="AE141" i="3"/>
  <c r="AE142" i="3" s="1"/>
  <c r="G140" i="3"/>
  <c r="G108" i="3"/>
  <c r="AB101" i="3"/>
  <c r="AX101" i="3" s="1"/>
  <c r="AB83" i="3"/>
  <c r="AX83" i="3" s="1"/>
  <c r="CQ139" i="3"/>
  <c r="AZ108" i="3"/>
  <c r="AZ130" i="3" s="1"/>
  <c r="CV139" i="3"/>
  <c r="CV141" i="3" s="1"/>
  <c r="CW139" i="3"/>
  <c r="CW141" i="3" s="1"/>
  <c r="AQ130" i="3"/>
  <c r="BS114" i="3"/>
  <c r="CO114" i="3" s="1"/>
  <c r="BS50" i="3"/>
  <c r="CO50" i="3" s="1"/>
  <c r="BS97" i="3"/>
  <c r="CO97" i="3" s="1"/>
  <c r="CQ130" i="3"/>
  <c r="AB63" i="3"/>
  <c r="AX63" i="3" s="1"/>
  <c r="AB30" i="3"/>
  <c r="AX30" i="3" s="1"/>
  <c r="AB15" i="3"/>
  <c r="AX15" i="3" s="1"/>
  <c r="BS34" i="3"/>
  <c r="CO34" i="3" s="1"/>
  <c r="AI130" i="3"/>
  <c r="BS7" i="3"/>
  <c r="CO7" i="3" s="1"/>
  <c r="BS54" i="3"/>
  <c r="CO54" i="3" s="1"/>
  <c r="K130" i="3"/>
  <c r="K142" i="3" s="1"/>
  <c r="CR134" i="3"/>
  <c r="CX130" i="3"/>
  <c r="AB39" i="3"/>
  <c r="AX39" i="3" s="1"/>
  <c r="AB72" i="3"/>
  <c r="AX72" i="3" s="1"/>
  <c r="BC91" i="3"/>
  <c r="BS11" i="3"/>
  <c r="CO11" i="3" s="1"/>
  <c r="CY142" i="3" l="1"/>
  <c r="AI142" i="3"/>
  <c r="DD141" i="3"/>
  <c r="BT20" i="3"/>
  <c r="BE142" i="3"/>
  <c r="CP134" i="3"/>
  <c r="DI135" i="3"/>
  <c r="DI139" i="3" s="1"/>
  <c r="DI141" i="3" s="1"/>
  <c r="DI58" i="3"/>
  <c r="DI130" i="3" s="1"/>
  <c r="CO113" i="4"/>
  <c r="DO113" i="4"/>
  <c r="CO103" i="4"/>
  <c r="DO103" i="4"/>
  <c r="CO63" i="4"/>
  <c r="DO63" i="4"/>
  <c r="CO66" i="4"/>
  <c r="DO66" i="4"/>
  <c r="CO126" i="4"/>
  <c r="DO126" i="4"/>
  <c r="BD130" i="3"/>
  <c r="CO127" i="4"/>
  <c r="DO127" i="4"/>
  <c r="CO111" i="4"/>
  <c r="DO111" i="4"/>
  <c r="CO110" i="4"/>
  <c r="DO110" i="4"/>
  <c r="CO123" i="4"/>
  <c r="DO123" i="4"/>
  <c r="CO96" i="4"/>
  <c r="DO96" i="4"/>
  <c r="CO62" i="4"/>
  <c r="DO62" i="4"/>
  <c r="BS138" i="4"/>
  <c r="DN139" i="4"/>
  <c r="CO120" i="4"/>
  <c r="DO120" i="4"/>
  <c r="CO106" i="4"/>
  <c r="DO106" i="4"/>
  <c r="CO114" i="4"/>
  <c r="DO114" i="4"/>
  <c r="BT91" i="4"/>
  <c r="DN91" i="4" s="1"/>
  <c r="DN64" i="4"/>
  <c r="CO102" i="4"/>
  <c r="DO102" i="4"/>
  <c r="CT20" i="3"/>
  <c r="CT130" i="3" s="1"/>
  <c r="CO88" i="4"/>
  <c r="DO88" i="4"/>
  <c r="CO86" i="4"/>
  <c r="DO86" i="4"/>
  <c r="CO89" i="4"/>
  <c r="DO89" i="4"/>
  <c r="BI142" i="3"/>
  <c r="CR130" i="3"/>
  <c r="CT139" i="3"/>
  <c r="CT141" i="3" s="1"/>
  <c r="BD139" i="3"/>
  <c r="BD141" i="3" s="1"/>
  <c r="BD142" i="3" s="1"/>
  <c r="CO105" i="4"/>
  <c r="DO105" i="4"/>
  <c r="BS115" i="4"/>
  <c r="CO101" i="4"/>
  <c r="DO101" i="4"/>
  <c r="CO121" i="4"/>
  <c r="DO121" i="4"/>
  <c r="AY58" i="3"/>
  <c r="CP8" i="3"/>
  <c r="CO87" i="4"/>
  <c r="DO87" i="4"/>
  <c r="CO72" i="4"/>
  <c r="DO72" i="4"/>
  <c r="CO122" i="4"/>
  <c r="DO122" i="4"/>
  <c r="CO107" i="4"/>
  <c r="DO107" i="4"/>
  <c r="CO83" i="4"/>
  <c r="DO83" i="4"/>
  <c r="CO59" i="4"/>
  <c r="DO59" i="4"/>
  <c r="CI142" i="4"/>
  <c r="BZ142" i="4"/>
  <c r="CP133" i="4"/>
  <c r="CG142" i="4"/>
  <c r="AY134" i="4"/>
  <c r="BM130" i="4"/>
  <c r="CP140" i="4"/>
  <c r="DA142" i="4"/>
  <c r="BK139" i="4"/>
  <c r="BK141" i="4" s="1"/>
  <c r="DB139" i="4"/>
  <c r="DB141" i="4" s="1"/>
  <c r="AB134" i="4"/>
  <c r="AX134" i="4" s="1"/>
  <c r="DG142" i="4"/>
  <c r="AY136" i="4"/>
  <c r="CY142" i="4"/>
  <c r="CV142" i="4"/>
  <c r="DD142" i="4"/>
  <c r="BA139" i="4"/>
  <c r="BA141" i="4" s="1"/>
  <c r="DI139" i="4"/>
  <c r="DI141" i="4" s="1"/>
  <c r="CX142" i="4"/>
  <c r="CP128" i="4"/>
  <c r="CW142" i="4"/>
  <c r="DF142" i="4"/>
  <c r="AY140" i="4"/>
  <c r="CH142" i="4"/>
  <c r="DB130" i="4"/>
  <c r="CZ142" i="4"/>
  <c r="DE141" i="4"/>
  <c r="DE142" i="4" s="1"/>
  <c r="CP136" i="4"/>
  <c r="CS142" i="4"/>
  <c r="CR139" i="4"/>
  <c r="CR141" i="4" s="1"/>
  <c r="BC139" i="4"/>
  <c r="BC141" i="4" s="1"/>
  <c r="CU139" i="4"/>
  <c r="CU141" i="4" s="1"/>
  <c r="CU142" i="4" s="1"/>
  <c r="BL139" i="4"/>
  <c r="BL141" i="4" s="1"/>
  <c r="BR139" i="4"/>
  <c r="BR141" i="4" s="1"/>
  <c r="BY139" i="3"/>
  <c r="BY141" i="3" s="1"/>
  <c r="BY142" i="3" s="1"/>
  <c r="CP128" i="3"/>
  <c r="CR130" i="4"/>
  <c r="BY139" i="4"/>
  <c r="BY141" i="4" s="1"/>
  <c r="BY142" i="4" s="1"/>
  <c r="CN130" i="4"/>
  <c r="CP135" i="4"/>
  <c r="BR130" i="3"/>
  <c r="AP142" i="3"/>
  <c r="CU130" i="3"/>
  <c r="CZ139" i="3"/>
  <c r="CZ141" i="3" s="1"/>
  <c r="CZ142" i="3" s="1"/>
  <c r="BP142" i="3"/>
  <c r="AY135" i="4"/>
  <c r="BS133" i="4"/>
  <c r="AY20" i="4"/>
  <c r="AY91" i="4"/>
  <c r="BS140" i="4"/>
  <c r="AB133" i="4"/>
  <c r="AX133" i="4" s="1"/>
  <c r="BN141" i="4"/>
  <c r="AY58" i="4"/>
  <c r="CN139" i="4"/>
  <c r="CN141" i="4" s="1"/>
  <c r="AB91" i="4"/>
  <c r="AX91" i="4" s="1"/>
  <c r="AB140" i="4"/>
  <c r="AX140" i="4" s="1"/>
  <c r="CP52" i="4"/>
  <c r="DI58" i="4"/>
  <c r="DI130" i="4" s="1"/>
  <c r="G139" i="4"/>
  <c r="AY137" i="4"/>
  <c r="AY132" i="4"/>
  <c r="DC139" i="4"/>
  <c r="DC141" i="4" s="1"/>
  <c r="DC142" i="4" s="1"/>
  <c r="BS136" i="4"/>
  <c r="BS137" i="4"/>
  <c r="CP64" i="4"/>
  <c r="CP91" i="4" s="1"/>
  <c r="CT137" i="4"/>
  <c r="CP137" i="4" s="1"/>
  <c r="BC130" i="4"/>
  <c r="AY128" i="4"/>
  <c r="BS58" i="4"/>
  <c r="CQ142" i="4"/>
  <c r="AB58" i="4"/>
  <c r="AX58" i="4" s="1"/>
  <c r="AB136" i="4"/>
  <c r="AX136" i="4" s="1"/>
  <c r="AB128" i="4"/>
  <c r="AX128" i="4" s="1"/>
  <c r="AB135" i="4"/>
  <c r="AX135" i="4" s="1"/>
  <c r="BS135" i="4"/>
  <c r="BS64" i="4"/>
  <c r="AY133" i="4"/>
  <c r="BA130" i="4"/>
  <c r="BS109" i="4"/>
  <c r="BT128" i="4"/>
  <c r="DN128" i="4" s="1"/>
  <c r="CT130" i="4"/>
  <c r="BT134" i="4"/>
  <c r="DN135" i="4" s="1"/>
  <c r="CP134" i="4"/>
  <c r="BS91" i="4"/>
  <c r="BR130" i="4"/>
  <c r="AB108" i="4"/>
  <c r="AX108" i="4" s="1"/>
  <c r="AC130" i="4"/>
  <c r="AB20" i="4"/>
  <c r="AX20" i="4" s="1"/>
  <c r="BS108" i="4"/>
  <c r="BS9" i="4"/>
  <c r="CO9" i="4" s="1"/>
  <c r="BT20" i="4"/>
  <c r="DN20" i="4" s="1"/>
  <c r="DN130" i="4" s="1"/>
  <c r="G130" i="4"/>
  <c r="CP132" i="4"/>
  <c r="BW139" i="4"/>
  <c r="BW141" i="4" s="1"/>
  <c r="BW142" i="4" s="1"/>
  <c r="BT132" i="4"/>
  <c r="DN133" i="4" s="1"/>
  <c r="AC139" i="4"/>
  <c r="AB132" i="4"/>
  <c r="AX132" i="4" s="1"/>
  <c r="DA142" i="3"/>
  <c r="AY136" i="3"/>
  <c r="AY137" i="3"/>
  <c r="AF142" i="3"/>
  <c r="CN139" i="3"/>
  <c r="CN141" i="3" s="1"/>
  <c r="CN142" i="3" s="1"/>
  <c r="CV142" i="3"/>
  <c r="CP108" i="3"/>
  <c r="BW142" i="3"/>
  <c r="CP133" i="3"/>
  <c r="BN141" i="3"/>
  <c r="BN142" i="3" s="1"/>
  <c r="AY133" i="3"/>
  <c r="BT136" i="3"/>
  <c r="BT139" i="3" s="1"/>
  <c r="BB142" i="3"/>
  <c r="AY132" i="3"/>
  <c r="BJ130" i="3"/>
  <c r="BJ142" i="3" s="1"/>
  <c r="CP58" i="3"/>
  <c r="DC139" i="3"/>
  <c r="DC141" i="3" s="1"/>
  <c r="AB136" i="3"/>
  <c r="AX136" i="3" s="1"/>
  <c r="CG142" i="3"/>
  <c r="BS102" i="3"/>
  <c r="CO102" i="3" s="1"/>
  <c r="G130" i="3"/>
  <c r="CO58" i="3"/>
  <c r="CP91" i="3"/>
  <c r="CR139" i="3"/>
  <c r="CR141" i="3" s="1"/>
  <c r="DB20" i="3"/>
  <c r="CP15" i="3"/>
  <c r="DB136" i="3"/>
  <c r="DB139" i="3" s="1"/>
  <c r="DB141" i="3" s="1"/>
  <c r="BK139" i="3"/>
  <c r="BK141" i="3" s="1"/>
  <c r="BK142" i="3" s="1"/>
  <c r="DE108" i="3"/>
  <c r="DE130" i="3" s="1"/>
  <c r="AY128" i="3"/>
  <c r="BM130" i="3"/>
  <c r="BM142" i="3" s="1"/>
  <c r="BR139" i="3"/>
  <c r="BR141" i="3" s="1"/>
  <c r="AW142" i="3"/>
  <c r="DB130" i="3"/>
  <c r="BL139" i="3"/>
  <c r="BL141" i="3" s="1"/>
  <c r="BL142" i="3" s="1"/>
  <c r="AY135" i="3"/>
  <c r="AY134" i="3"/>
  <c r="AY140" i="3"/>
  <c r="CP137" i="3"/>
  <c r="BT108" i="3"/>
  <c r="DE140" i="3"/>
  <c r="DE141" i="3" s="1"/>
  <c r="DE142" i="3" s="1"/>
  <c r="BH142" i="3"/>
  <c r="DD142" i="3"/>
  <c r="AY20" i="3"/>
  <c r="CU139" i="3"/>
  <c r="CU141" i="3" s="1"/>
  <c r="BQ142" i="3"/>
  <c r="CX142" i="3"/>
  <c r="AQ142" i="3"/>
  <c r="DH139" i="3"/>
  <c r="DH141" i="3" s="1"/>
  <c r="DH142" i="3" s="1"/>
  <c r="BA139" i="3"/>
  <c r="BA141" i="3" s="1"/>
  <c r="BG142" i="3"/>
  <c r="CS139" i="3"/>
  <c r="CS141" i="3" s="1"/>
  <c r="CS142" i="3" s="1"/>
  <c r="CP132" i="3"/>
  <c r="AB134" i="3"/>
  <c r="AX134" i="3" s="1"/>
  <c r="AC130" i="3"/>
  <c r="AB20" i="3"/>
  <c r="AX20" i="3" s="1"/>
  <c r="AB91" i="3"/>
  <c r="AX91" i="3" s="1"/>
  <c r="DG142" i="3"/>
  <c r="BS108" i="3"/>
  <c r="CO108" i="3" s="1"/>
  <c r="G139" i="3"/>
  <c r="BS91" i="3"/>
  <c r="CO91" i="3" s="1"/>
  <c r="CW142" i="3"/>
  <c r="AB135" i="3"/>
  <c r="AX135" i="3" s="1"/>
  <c r="BS115" i="3"/>
  <c r="CO115" i="3" s="1"/>
  <c r="BS140" i="3"/>
  <c r="CO140" i="3" s="1"/>
  <c r="DC142" i="3"/>
  <c r="CQ141" i="3"/>
  <c r="CQ142" i="3" s="1"/>
  <c r="BT128" i="3"/>
  <c r="BC139" i="3"/>
  <c r="BC141" i="3" s="1"/>
  <c r="BC130" i="3"/>
  <c r="Z142" i="3"/>
  <c r="BS20" i="3"/>
  <c r="CO20" i="3" s="1"/>
  <c r="BS58" i="3"/>
  <c r="AB140" i="3"/>
  <c r="AX140" i="3" s="1"/>
  <c r="AB58" i="3"/>
  <c r="AX58" i="3" s="1"/>
  <c r="AB128" i="3"/>
  <c r="AX128" i="3" s="1"/>
  <c r="BS132" i="3"/>
  <c r="CO132" i="3" s="1"/>
  <c r="BS133" i="3"/>
  <c r="CO133" i="3" s="1"/>
  <c r="AB137" i="3"/>
  <c r="AX137" i="3" s="1"/>
  <c r="BS137" i="3"/>
  <c r="CO137" i="3" s="1"/>
  <c r="AB108" i="3"/>
  <c r="AX108" i="3" s="1"/>
  <c r="AZ141" i="3"/>
  <c r="AZ142" i="3" s="1"/>
  <c r="BA130" i="3"/>
  <c r="BS134" i="3"/>
  <c r="CO134" i="3" s="1"/>
  <c r="AY91" i="3"/>
  <c r="AY108" i="3"/>
  <c r="AC139" i="3"/>
  <c r="AB132" i="3"/>
  <c r="AX132" i="3" s="1"/>
  <c r="AB133" i="3"/>
  <c r="AX133" i="3" s="1"/>
  <c r="CP135" i="3" l="1"/>
  <c r="BR142" i="3"/>
  <c r="CR142" i="3"/>
  <c r="CO135" i="4"/>
  <c r="DO136" i="4"/>
  <c r="CO140" i="4"/>
  <c r="DO140" i="4"/>
  <c r="CO108" i="4"/>
  <c r="AX149" i="4"/>
  <c r="DO108" i="4"/>
  <c r="DI142" i="3"/>
  <c r="CO137" i="4"/>
  <c r="DO138" i="4"/>
  <c r="CO133" i="4"/>
  <c r="DO134" i="4"/>
  <c r="CO91" i="4"/>
  <c r="DO91" i="4"/>
  <c r="AX148" i="4"/>
  <c r="CO138" i="4"/>
  <c r="DO139" i="4"/>
  <c r="CO136" i="4"/>
  <c r="DO137" i="4"/>
  <c r="CT142" i="3"/>
  <c r="CO115" i="4"/>
  <c r="DO115" i="4"/>
  <c r="CO64" i="4"/>
  <c r="DO64" i="4"/>
  <c r="DN141" i="4"/>
  <c r="CO109" i="4"/>
  <c r="DO109" i="4"/>
  <c r="AX147" i="4"/>
  <c r="DO58" i="4"/>
  <c r="CO58" i="4"/>
  <c r="DB142" i="4"/>
  <c r="DI142" i="4"/>
  <c r="CR142" i="4"/>
  <c r="CN142" i="4"/>
  <c r="CU142" i="3"/>
  <c r="AY130" i="4"/>
  <c r="BT130" i="3"/>
  <c r="BS130" i="3" s="1"/>
  <c r="CO130" i="3" s="1"/>
  <c r="AB130" i="4"/>
  <c r="AX130" i="4" s="1"/>
  <c r="CP139" i="4"/>
  <c r="CP141" i="4" s="1"/>
  <c r="AY139" i="4"/>
  <c r="AY141" i="4" s="1"/>
  <c r="CT139" i="4"/>
  <c r="CT141" i="4" s="1"/>
  <c r="CT142" i="4" s="1"/>
  <c r="BT139" i="4"/>
  <c r="BS132" i="4"/>
  <c r="G141" i="4"/>
  <c r="BT130" i="4"/>
  <c r="BS20" i="4"/>
  <c r="BS128" i="4"/>
  <c r="BS134" i="4"/>
  <c r="AC141" i="4"/>
  <c r="AB139" i="4"/>
  <c r="AX139" i="4" s="1"/>
  <c r="CP58" i="4"/>
  <c r="BA142" i="3"/>
  <c r="BS136" i="3"/>
  <c r="CO136" i="3" s="1"/>
  <c r="CP136" i="3"/>
  <c r="BC142" i="3"/>
  <c r="AY130" i="3"/>
  <c r="AY139" i="3"/>
  <c r="AY141" i="3" s="1"/>
  <c r="CP20" i="3"/>
  <c r="CP140" i="3"/>
  <c r="DB142" i="3"/>
  <c r="AB130" i="3"/>
  <c r="AX130" i="3" s="1"/>
  <c r="BT141" i="3"/>
  <c r="BS139" i="3"/>
  <c r="CO139" i="3" s="1"/>
  <c r="AC141" i="3"/>
  <c r="AB139" i="3"/>
  <c r="AX139" i="3" s="1"/>
  <c r="G141" i="3"/>
  <c r="BS128" i="3"/>
  <c r="CO128" i="3" s="1"/>
  <c r="CO134" i="4" l="1"/>
  <c r="DO135" i="4"/>
  <c r="CO132" i="4"/>
  <c r="DO133" i="4"/>
  <c r="CO128" i="4"/>
  <c r="DO128" i="4"/>
  <c r="AX150" i="4"/>
  <c r="CO20" i="4"/>
  <c r="AX146" i="4"/>
  <c r="DO20" i="4"/>
  <c r="BT142" i="3"/>
  <c r="BS130" i="4"/>
  <c r="CO130" i="4" s="1"/>
  <c r="AB141" i="4"/>
  <c r="AX141" i="4" s="1"/>
  <c r="CP130" i="4"/>
  <c r="CP142" i="4" s="1"/>
  <c r="BT141" i="4"/>
  <c r="BS139" i="4"/>
  <c r="CO139" i="4" s="1"/>
  <c r="CP130" i="3"/>
  <c r="CP139" i="3"/>
  <c r="AY142" i="3"/>
  <c r="AB141" i="3"/>
  <c r="AX141" i="3" s="1"/>
  <c r="BS141" i="3"/>
  <c r="CO141" i="3" s="1"/>
  <c r="G142" i="3"/>
  <c r="AC142" i="3"/>
  <c r="BS141" i="4" l="1"/>
  <c r="CP141" i="3"/>
  <c r="CO141" i="4" l="1"/>
  <c r="AX151" i="4"/>
  <c r="DO141" i="4"/>
  <c r="CP142" i="3"/>
  <c r="DF140" i="1" l="1"/>
  <c r="CM140" i="1"/>
  <c r="CL140" i="1"/>
  <c r="CK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U140" i="1"/>
  <c r="AV140" i="1"/>
  <c r="AU140" i="1"/>
  <c r="AT140" i="1"/>
  <c r="AQ140" i="1"/>
  <c r="AP140" i="1"/>
  <c r="AO140" i="1"/>
  <c r="AN140" i="1"/>
  <c r="AM140" i="1"/>
  <c r="AL140" i="1"/>
  <c r="AK140" i="1"/>
  <c r="AJ140" i="1"/>
  <c r="AI140" i="1"/>
  <c r="AG140" i="1"/>
  <c r="AD140" i="1"/>
  <c r="Y140" i="1"/>
  <c r="X140" i="1"/>
  <c r="T140" i="1"/>
  <c r="S140" i="1"/>
  <c r="R140" i="1"/>
  <c r="Q140" i="1"/>
  <c r="P140" i="1"/>
  <c r="O140" i="1"/>
  <c r="N140" i="1"/>
  <c r="M140" i="1"/>
  <c r="L140" i="1"/>
  <c r="K140" i="1"/>
  <c r="J140" i="1"/>
  <c r="H140" i="1"/>
  <c r="AA139" i="1"/>
  <c r="AA141" i="1" s="1"/>
  <c r="DF138" i="1"/>
  <c r="CK138" i="1"/>
  <c r="AT138" i="1"/>
  <c r="Z138" i="1"/>
  <c r="X138" i="1"/>
  <c r="DF137" i="1"/>
  <c r="CM137" i="1"/>
  <c r="CL137" i="1"/>
  <c r="CK137" i="1"/>
  <c r="CJ137" i="1"/>
  <c r="CI137" i="1"/>
  <c r="CH137" i="1"/>
  <c r="CE137" i="1"/>
  <c r="CD137" i="1"/>
  <c r="CC137" i="1"/>
  <c r="CB137" i="1"/>
  <c r="CA137" i="1"/>
  <c r="BX137" i="1"/>
  <c r="BW137" i="1"/>
  <c r="BV137" i="1"/>
  <c r="BU137" i="1"/>
  <c r="AV137" i="1"/>
  <c r="AU137" i="1"/>
  <c r="AT137" i="1"/>
  <c r="AS137" i="1"/>
  <c r="AR137" i="1"/>
  <c r="AQ137" i="1"/>
  <c r="AN137" i="1"/>
  <c r="AM137" i="1"/>
  <c r="AL137" i="1"/>
  <c r="AK137" i="1"/>
  <c r="AJ137" i="1"/>
  <c r="AG137" i="1"/>
  <c r="AF137" i="1"/>
  <c r="AE137" i="1"/>
  <c r="AD137" i="1"/>
  <c r="Y137" i="1"/>
  <c r="X137" i="1"/>
  <c r="V137" i="1"/>
  <c r="U137" i="1"/>
  <c r="T137" i="1"/>
  <c r="Q137" i="1"/>
  <c r="P137" i="1"/>
  <c r="O137" i="1"/>
  <c r="N137" i="1"/>
  <c r="M137" i="1"/>
  <c r="J137" i="1"/>
  <c r="I137" i="1"/>
  <c r="H137" i="1"/>
  <c r="DF136" i="1"/>
  <c r="CM136" i="1"/>
  <c r="CL136" i="1"/>
  <c r="CK136" i="1"/>
  <c r="CJ136" i="1"/>
  <c r="CI136" i="1"/>
  <c r="CF136" i="1"/>
  <c r="CE136" i="1"/>
  <c r="CD136" i="1"/>
  <c r="CC136" i="1"/>
  <c r="CB136" i="1"/>
  <c r="CA136" i="1"/>
  <c r="BX136" i="1"/>
  <c r="BW136" i="1"/>
  <c r="BV136" i="1"/>
  <c r="BU136" i="1"/>
  <c r="AV136" i="1"/>
  <c r="AU136" i="1"/>
  <c r="AT136" i="1"/>
  <c r="AS136" i="1"/>
  <c r="AR136" i="1"/>
  <c r="AO136" i="1"/>
  <c r="AN136" i="1"/>
  <c r="AM136" i="1"/>
  <c r="AL136" i="1"/>
  <c r="AK136" i="1"/>
  <c r="AJ136" i="1"/>
  <c r="AG136" i="1"/>
  <c r="AF136" i="1"/>
  <c r="AE136" i="1"/>
  <c r="AD136" i="1"/>
  <c r="Y136" i="1"/>
  <c r="X136" i="1"/>
  <c r="V136" i="1"/>
  <c r="U136" i="1"/>
  <c r="T136" i="1"/>
  <c r="S136" i="1"/>
  <c r="R136" i="1"/>
  <c r="Q136" i="1"/>
  <c r="P136" i="1"/>
  <c r="O136" i="1"/>
  <c r="N136" i="1"/>
  <c r="M136" i="1"/>
  <c r="L136" i="1"/>
  <c r="J136" i="1"/>
  <c r="H136" i="1"/>
  <c r="CL135" i="1"/>
  <c r="CK135" i="1"/>
  <c r="CJ135" i="1"/>
  <c r="CH135" i="1"/>
  <c r="CE135" i="1"/>
  <c r="CD135" i="1"/>
  <c r="CC135" i="1"/>
  <c r="CB135" i="1"/>
  <c r="CA135" i="1"/>
  <c r="BZ135" i="1"/>
  <c r="BY135" i="1"/>
  <c r="BX135" i="1"/>
  <c r="BV135" i="1"/>
  <c r="BU135" i="1"/>
  <c r="AU135" i="1"/>
  <c r="AS135" i="1"/>
  <c r="AQ135" i="1"/>
  <c r="AN135" i="1"/>
  <c r="AM135" i="1"/>
  <c r="AL135" i="1"/>
  <c r="AK135" i="1"/>
  <c r="AJ135" i="1"/>
  <c r="AH135" i="1"/>
  <c r="AG135" i="1"/>
  <c r="AE135" i="1"/>
  <c r="AD135" i="1"/>
  <c r="X135" i="1"/>
  <c r="V135" i="1"/>
  <c r="T135" i="1"/>
  <c r="S135" i="1"/>
  <c r="Q135" i="1"/>
  <c r="P135" i="1"/>
  <c r="O135" i="1"/>
  <c r="N135" i="1"/>
  <c r="M135" i="1"/>
  <c r="K135" i="1"/>
  <c r="J135" i="1"/>
  <c r="H135" i="1"/>
  <c r="DF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X134" i="1"/>
  <c r="BV134" i="1"/>
  <c r="BU134" i="1"/>
  <c r="BP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G134" i="1"/>
  <c r="AE134" i="1"/>
  <c r="AD134" i="1"/>
  <c r="Y134" i="1"/>
  <c r="X134" i="1"/>
  <c r="V134" i="1"/>
  <c r="U134" i="1"/>
  <c r="T134" i="1"/>
  <c r="S134" i="1"/>
  <c r="R134" i="1"/>
  <c r="Q134" i="1"/>
  <c r="P134" i="1"/>
  <c r="O134" i="1"/>
  <c r="N134" i="1"/>
  <c r="M134" i="1"/>
  <c r="L134" i="1"/>
  <c r="J134" i="1"/>
  <c r="H134" i="1"/>
  <c r="DF133" i="1"/>
  <c r="CM133" i="1"/>
  <c r="CL133" i="1"/>
  <c r="CK133" i="1"/>
  <c r="CJ133" i="1"/>
  <c r="CI133" i="1"/>
  <c r="CH133" i="1"/>
  <c r="CF133" i="1"/>
  <c r="CD133" i="1"/>
  <c r="CC133" i="1"/>
  <c r="CB133" i="1"/>
  <c r="CA133" i="1"/>
  <c r="BZ133" i="1"/>
  <c r="BY133" i="1"/>
  <c r="BX133" i="1"/>
  <c r="BV133" i="1"/>
  <c r="BU133" i="1"/>
  <c r="AV133" i="1"/>
  <c r="AU133" i="1"/>
  <c r="AT133" i="1"/>
  <c r="AS133" i="1"/>
  <c r="AR133" i="1"/>
  <c r="AQ133" i="1"/>
  <c r="AO133" i="1"/>
  <c r="AM133" i="1"/>
  <c r="AL133" i="1"/>
  <c r="AK133" i="1"/>
  <c r="AJ133" i="1"/>
  <c r="AI133" i="1"/>
  <c r="AH133" i="1"/>
  <c r="AG133" i="1"/>
  <c r="AE133" i="1"/>
  <c r="AD133" i="1"/>
  <c r="Y133" i="1"/>
  <c r="X133" i="1"/>
  <c r="V133" i="1"/>
  <c r="T133" i="1"/>
  <c r="S133" i="1"/>
  <c r="R133" i="1"/>
  <c r="P133" i="1"/>
  <c r="O133" i="1"/>
  <c r="N133" i="1"/>
  <c r="M133" i="1"/>
  <c r="L133" i="1"/>
  <c r="K133" i="1"/>
  <c r="J133" i="1"/>
  <c r="H133" i="1"/>
  <c r="DF132" i="1"/>
  <c r="CM132" i="1"/>
  <c r="CL132" i="1"/>
  <c r="CK132" i="1"/>
  <c r="CJ132" i="1"/>
  <c r="CI132" i="1"/>
  <c r="CH132" i="1"/>
  <c r="CG132" i="1"/>
  <c r="CF132" i="1"/>
  <c r="CD132" i="1"/>
  <c r="CC132" i="1"/>
  <c r="CB132" i="1"/>
  <c r="CA132" i="1"/>
  <c r="BZ132" i="1"/>
  <c r="BY132" i="1"/>
  <c r="BV132" i="1"/>
  <c r="BU132" i="1"/>
  <c r="BP132" i="1"/>
  <c r="AV132" i="1"/>
  <c r="AU132" i="1"/>
  <c r="AT132" i="1"/>
  <c r="AS132" i="1"/>
  <c r="AR132" i="1"/>
  <c r="AQ132" i="1"/>
  <c r="AP132" i="1"/>
  <c r="AO132" i="1"/>
  <c r="AM132" i="1"/>
  <c r="AM139" i="1" s="1"/>
  <c r="AM141" i="1" s="1"/>
  <c r="AL132" i="1"/>
  <c r="AK132" i="1"/>
  <c r="AJ132" i="1"/>
  <c r="AI132" i="1"/>
  <c r="AH132" i="1"/>
  <c r="AE132" i="1"/>
  <c r="AD132" i="1"/>
  <c r="Y132" i="1"/>
  <c r="X132" i="1"/>
  <c r="V132" i="1"/>
  <c r="U132" i="1"/>
  <c r="T132" i="1"/>
  <c r="S132" i="1"/>
  <c r="R132" i="1"/>
  <c r="O132" i="1"/>
  <c r="L132" i="1"/>
  <c r="K132" i="1"/>
  <c r="H132" i="1"/>
  <c r="DF128" i="1"/>
  <c r="CM128" i="1"/>
  <c r="CJ128" i="1"/>
  <c r="CI128" i="1"/>
  <c r="CF128" i="1"/>
  <c r="CD128" i="1"/>
  <c r="CC128" i="1"/>
  <c r="CB128" i="1"/>
  <c r="CA128" i="1"/>
  <c r="BZ128" i="1"/>
  <c r="BV128" i="1"/>
  <c r="BU128" i="1"/>
  <c r="BO128" i="1"/>
  <c r="AV128" i="1"/>
  <c r="AT128" i="1"/>
  <c r="AS128" i="1"/>
  <c r="AR128" i="1"/>
  <c r="AO128" i="1"/>
  <c r="AM128" i="1"/>
  <c r="AL128" i="1"/>
  <c r="AK128" i="1"/>
  <c r="AJ128" i="1"/>
  <c r="AI128" i="1"/>
  <c r="AE128" i="1"/>
  <c r="Y128" i="1"/>
  <c r="X128" i="1"/>
  <c r="W128" i="1"/>
  <c r="V128" i="1"/>
  <c r="S128" i="1"/>
  <c r="R128" i="1"/>
  <c r="L128" i="1"/>
  <c r="H128" i="1"/>
  <c r="DH127" i="1"/>
  <c r="DG127" i="1"/>
  <c r="DE127" i="1"/>
  <c r="DD127" i="1"/>
  <c r="DC127" i="1"/>
  <c r="DB127" i="1"/>
  <c r="DA127" i="1"/>
  <c r="CZ127" i="1"/>
  <c r="CY127" i="1"/>
  <c r="CX127" i="1"/>
  <c r="CW127" i="1"/>
  <c r="CV127" i="1"/>
  <c r="CU127" i="1"/>
  <c r="CS127" i="1"/>
  <c r="CR127" i="1"/>
  <c r="CQ127" i="1"/>
  <c r="CN127" i="1"/>
  <c r="BQ127" i="1"/>
  <c r="BN127" i="1"/>
  <c r="BM127" i="1"/>
  <c r="BL127" i="1"/>
  <c r="BK127" i="1"/>
  <c r="BJ127" i="1"/>
  <c r="BI127" i="1"/>
  <c r="BH127" i="1"/>
  <c r="BG127" i="1"/>
  <c r="BF127" i="1"/>
  <c r="BE127" i="1"/>
  <c r="BD127" i="1"/>
  <c r="BB127" i="1"/>
  <c r="BA127" i="1"/>
  <c r="AZ127" i="1"/>
  <c r="AW127" i="1"/>
  <c r="AH127" i="1"/>
  <c r="AC127" i="1" s="1"/>
  <c r="Z127" i="1"/>
  <c r="BR127" i="1" s="1"/>
  <c r="DI126" i="1"/>
  <c r="DH126" i="1"/>
  <c r="DG126" i="1"/>
  <c r="DE126" i="1"/>
  <c r="DD126" i="1"/>
  <c r="DC126" i="1"/>
  <c r="DB126" i="1"/>
  <c r="DA126" i="1"/>
  <c r="CZ126" i="1"/>
  <c r="CY126" i="1"/>
  <c r="CX126" i="1"/>
  <c r="CW126" i="1"/>
  <c r="CV126" i="1"/>
  <c r="CU126" i="1"/>
  <c r="CS126" i="1"/>
  <c r="CR126" i="1"/>
  <c r="CQ126" i="1"/>
  <c r="BY126" i="1"/>
  <c r="CT126" i="1" s="1"/>
  <c r="BR126" i="1"/>
  <c r="BQ126" i="1"/>
  <c r="BN126" i="1"/>
  <c r="BM126" i="1"/>
  <c r="BL126" i="1"/>
  <c r="BK126" i="1"/>
  <c r="BJ126" i="1"/>
  <c r="BI126" i="1"/>
  <c r="BH126" i="1"/>
  <c r="BG126" i="1"/>
  <c r="BF126" i="1"/>
  <c r="BE126" i="1"/>
  <c r="BD126" i="1"/>
  <c r="BB126" i="1"/>
  <c r="BA126" i="1"/>
  <c r="AZ126" i="1"/>
  <c r="AH126" i="1"/>
  <c r="AC126" i="1" s="1"/>
  <c r="G126" i="1"/>
  <c r="DI125" i="1"/>
  <c r="DH125" i="1"/>
  <c r="DG125" i="1"/>
  <c r="DE125" i="1"/>
  <c r="DD125" i="1"/>
  <c r="DC125" i="1"/>
  <c r="DB125" i="1"/>
  <c r="DA125" i="1"/>
  <c r="CZ125" i="1"/>
  <c r="CY125" i="1"/>
  <c r="CX125" i="1"/>
  <c r="CW125" i="1"/>
  <c r="CV125" i="1"/>
  <c r="CU125" i="1"/>
  <c r="CS125" i="1"/>
  <c r="CR125" i="1"/>
  <c r="CQ125" i="1"/>
  <c r="BY125" i="1"/>
  <c r="BR125" i="1"/>
  <c r="BQ125" i="1"/>
  <c r="BN125" i="1"/>
  <c r="BM125" i="1"/>
  <c r="BL125" i="1"/>
  <c r="BK125" i="1"/>
  <c r="BJ125" i="1"/>
  <c r="BI125" i="1"/>
  <c r="BH125" i="1"/>
  <c r="BG125" i="1"/>
  <c r="BF125" i="1"/>
  <c r="BE125" i="1"/>
  <c r="BD125" i="1"/>
  <c r="BB125" i="1"/>
  <c r="BA125" i="1"/>
  <c r="AZ125" i="1"/>
  <c r="AH125" i="1"/>
  <c r="BC125" i="1" s="1"/>
  <c r="G125" i="1"/>
  <c r="DI124" i="1"/>
  <c r="DH124" i="1"/>
  <c r="DG124" i="1"/>
  <c r="DE124" i="1"/>
  <c r="DD124" i="1"/>
  <c r="DC124" i="1"/>
  <c r="DB124" i="1"/>
  <c r="DA124" i="1"/>
  <c r="CZ124" i="1"/>
  <c r="CY124" i="1"/>
  <c r="CX124" i="1"/>
  <c r="CW124" i="1"/>
  <c r="CV124" i="1"/>
  <c r="CU124" i="1"/>
  <c r="CT124" i="1"/>
  <c r="CS124" i="1"/>
  <c r="CR124" i="1"/>
  <c r="CQ124" i="1"/>
  <c r="CO124" i="1"/>
  <c r="BT124" i="1"/>
  <c r="BR124" i="1"/>
  <c r="BQ124" i="1"/>
  <c r="BN124" i="1"/>
  <c r="BM124" i="1"/>
  <c r="BL124" i="1"/>
  <c r="BK124" i="1"/>
  <c r="BJ124" i="1"/>
  <c r="BI124" i="1"/>
  <c r="BH124" i="1"/>
  <c r="BG124" i="1"/>
  <c r="BF124" i="1"/>
  <c r="BE124" i="1"/>
  <c r="BD124" i="1"/>
  <c r="BC124" i="1"/>
  <c r="BB124" i="1"/>
  <c r="BA124" i="1"/>
  <c r="AZ124" i="1"/>
  <c r="AC124" i="1"/>
  <c r="G124" i="1"/>
  <c r="BS124" i="1" s="1"/>
  <c r="DI123" i="1"/>
  <c r="DH123" i="1"/>
  <c r="DG123" i="1"/>
  <c r="DE123" i="1"/>
  <c r="DD123" i="1"/>
  <c r="DC123" i="1"/>
  <c r="DB123" i="1"/>
  <c r="DA123" i="1"/>
  <c r="CZ123" i="1"/>
  <c r="CY123" i="1"/>
  <c r="CX123" i="1"/>
  <c r="CW123" i="1"/>
  <c r="CV123" i="1"/>
  <c r="CU123" i="1"/>
  <c r="CS123" i="1"/>
  <c r="CR123" i="1"/>
  <c r="CQ123" i="1"/>
  <c r="BY123" i="1"/>
  <c r="BR123" i="1"/>
  <c r="BQ123" i="1"/>
  <c r="BN123" i="1"/>
  <c r="BM123" i="1"/>
  <c r="BL123" i="1"/>
  <c r="BK123" i="1"/>
  <c r="BJ123" i="1"/>
  <c r="BI123" i="1"/>
  <c r="BH123" i="1"/>
  <c r="BG123" i="1"/>
  <c r="BF123" i="1"/>
  <c r="BE123" i="1"/>
  <c r="BD123" i="1"/>
  <c r="BB123" i="1"/>
  <c r="BA123" i="1"/>
  <c r="AZ123" i="1"/>
  <c r="AH123" i="1"/>
  <c r="AC123" i="1" s="1"/>
  <c r="K123" i="1"/>
  <c r="G123" i="1" s="1"/>
  <c r="DI122" i="1"/>
  <c r="DH122" i="1"/>
  <c r="DG122" i="1"/>
  <c r="DE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CR122" i="1"/>
  <c r="CQ122" i="1"/>
  <c r="BY122" i="1"/>
  <c r="BT122" i="1" s="1"/>
  <c r="BR122" i="1"/>
  <c r="BQ122" i="1"/>
  <c r="BN122" i="1"/>
  <c r="BM122" i="1"/>
  <c r="BL122" i="1"/>
  <c r="BK122" i="1"/>
  <c r="BJ122" i="1"/>
  <c r="BI122" i="1"/>
  <c r="BH122" i="1"/>
  <c r="BG122" i="1"/>
  <c r="BF122" i="1"/>
  <c r="BE122" i="1"/>
  <c r="BD122" i="1"/>
  <c r="BB122" i="1"/>
  <c r="BA122" i="1"/>
  <c r="AZ122" i="1"/>
  <c r="AH122" i="1"/>
  <c r="K122" i="1"/>
  <c r="G122" i="1"/>
  <c r="CL121" i="1"/>
  <c r="DG121" i="1" s="1"/>
  <c r="DG138" i="1" s="1"/>
  <c r="CH121" i="1"/>
  <c r="AU121" i="1"/>
  <c r="BP121" i="1" s="1"/>
  <c r="AQ121" i="1"/>
  <c r="T121" i="1"/>
  <c r="T128" i="1" s="1"/>
  <c r="DI120" i="1"/>
  <c r="DH120" i="1"/>
  <c r="DG120" i="1"/>
  <c r="DE120" i="1"/>
  <c r="DD120" i="1"/>
  <c r="DC120" i="1"/>
  <c r="DA120" i="1"/>
  <c r="CZ120" i="1"/>
  <c r="CY120" i="1"/>
  <c r="CX120" i="1"/>
  <c r="CW120" i="1"/>
  <c r="CV120" i="1"/>
  <c r="CU120" i="1"/>
  <c r="CT120" i="1"/>
  <c r="CS120" i="1"/>
  <c r="CR120" i="1"/>
  <c r="CQ120" i="1"/>
  <c r="CG120" i="1"/>
  <c r="CG133" i="1" s="1"/>
  <c r="BR120" i="1"/>
  <c r="BQ120" i="1"/>
  <c r="BP120" i="1"/>
  <c r="BP133" i="1" s="1"/>
  <c r="BN120" i="1"/>
  <c r="BM120" i="1"/>
  <c r="BL120" i="1"/>
  <c r="BJ120" i="1"/>
  <c r="BI120" i="1"/>
  <c r="BH120" i="1"/>
  <c r="BG120" i="1"/>
  <c r="BF120" i="1"/>
  <c r="BE120" i="1"/>
  <c r="BD120" i="1"/>
  <c r="BC120" i="1"/>
  <c r="BB120" i="1"/>
  <c r="BA120" i="1"/>
  <c r="AZ120" i="1"/>
  <c r="AP120" i="1"/>
  <c r="G120" i="1"/>
  <c r="DI119" i="1"/>
  <c r="DH119" i="1"/>
  <c r="DG119" i="1"/>
  <c r="DE119" i="1"/>
  <c r="DC119" i="1"/>
  <c r="DB119" i="1"/>
  <c r="DA119" i="1"/>
  <c r="CZ119" i="1"/>
  <c r="CY119" i="1"/>
  <c r="CX119" i="1"/>
  <c r="CW119" i="1"/>
  <c r="CV119" i="1"/>
  <c r="CU119" i="1"/>
  <c r="CT119" i="1"/>
  <c r="CS119" i="1"/>
  <c r="CQ119" i="1"/>
  <c r="BW119" i="1"/>
  <c r="BT119" i="1" s="1"/>
  <c r="BR119" i="1"/>
  <c r="BQ119" i="1"/>
  <c r="BN119" i="1"/>
  <c r="BL119" i="1"/>
  <c r="BK119" i="1"/>
  <c r="BJ119" i="1"/>
  <c r="BI119" i="1"/>
  <c r="BH119" i="1"/>
  <c r="BG119" i="1"/>
  <c r="BF119" i="1"/>
  <c r="BE119" i="1"/>
  <c r="BD119" i="1"/>
  <c r="BC119" i="1"/>
  <c r="BB119" i="1"/>
  <c r="AZ119" i="1"/>
  <c r="AF119" i="1"/>
  <c r="AC119" i="1" s="1"/>
  <c r="U119" i="1"/>
  <c r="I119" i="1"/>
  <c r="BA119" i="1" s="1"/>
  <c r="DH118" i="1"/>
  <c r="DG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R118" i="1"/>
  <c r="CQ118" i="1"/>
  <c r="CN118" i="1"/>
  <c r="BT118" i="1" s="1"/>
  <c r="BQ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W118" i="1"/>
  <c r="AC118" i="1" s="1"/>
  <c r="Z118" i="1"/>
  <c r="G118" i="1" s="1"/>
  <c r="DH117" i="1"/>
  <c r="DG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/>
  <c r="CQ117" i="1"/>
  <c r="CN117" i="1"/>
  <c r="BQ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W117" i="1"/>
  <c r="AC117" i="1" s="1"/>
  <c r="Z117" i="1"/>
  <c r="G117" i="1" s="1"/>
  <c r="DH116" i="1"/>
  <c r="DG116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CR116" i="1"/>
  <c r="CQ116" i="1"/>
  <c r="CN116" i="1"/>
  <c r="BT116" i="1" s="1"/>
  <c r="BQ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W116" i="1"/>
  <c r="Z116" i="1"/>
  <c r="DH115" i="1"/>
  <c r="DG115" i="1"/>
  <c r="DE115" i="1"/>
  <c r="DD115" i="1"/>
  <c r="DC115" i="1"/>
  <c r="DB115" i="1"/>
  <c r="DA115" i="1"/>
  <c r="CY115" i="1"/>
  <c r="CX115" i="1"/>
  <c r="CW115" i="1"/>
  <c r="CV115" i="1"/>
  <c r="CU115" i="1"/>
  <c r="CT115" i="1"/>
  <c r="CS115" i="1"/>
  <c r="CQ115" i="1"/>
  <c r="CE115" i="1"/>
  <c r="BW115" i="1"/>
  <c r="CR115" i="1" s="1"/>
  <c r="BQ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AZ115" i="1"/>
  <c r="AW115" i="1"/>
  <c r="AF115" i="1"/>
  <c r="Z115" i="1"/>
  <c r="DI114" i="1"/>
  <c r="DH114" i="1"/>
  <c r="DG114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CQ114" i="1"/>
  <c r="BW114" i="1"/>
  <c r="BT114" i="1" s="1"/>
  <c r="BS114" i="1" s="1"/>
  <c r="CO114" i="1" s="1"/>
  <c r="BR114" i="1"/>
  <c r="BQ114" i="1"/>
  <c r="BN114" i="1"/>
  <c r="BM114" i="1"/>
  <c r="BL114" i="1"/>
  <c r="BK114" i="1"/>
  <c r="BJ114" i="1"/>
  <c r="BI114" i="1"/>
  <c r="BH114" i="1"/>
  <c r="BG114" i="1"/>
  <c r="BF114" i="1"/>
  <c r="BE114" i="1"/>
  <c r="BD114" i="1"/>
  <c r="BC114" i="1"/>
  <c r="BB114" i="1"/>
  <c r="AZ114" i="1"/>
  <c r="AF114" i="1"/>
  <c r="G114" i="1"/>
  <c r="DI113" i="1"/>
  <c r="DH113" i="1"/>
  <c r="DG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Q113" i="1"/>
  <c r="BW113" i="1"/>
  <c r="BT113" i="1"/>
  <c r="BR113" i="1"/>
  <c r="BQ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AZ113" i="1"/>
  <c r="AF113" i="1"/>
  <c r="AC113" i="1" s="1"/>
  <c r="I113" i="1"/>
  <c r="CR113" i="1" s="1"/>
  <c r="DH112" i="1"/>
  <c r="DG112" i="1"/>
  <c r="DE112" i="1"/>
  <c r="DD112" i="1"/>
  <c r="DC112" i="1"/>
  <c r="DB112" i="1"/>
  <c r="DA112" i="1"/>
  <c r="CY112" i="1"/>
  <c r="CX112" i="1"/>
  <c r="CW112" i="1"/>
  <c r="CV112" i="1"/>
  <c r="CU112" i="1"/>
  <c r="CT112" i="1"/>
  <c r="CS112" i="1"/>
  <c r="CQ112" i="1"/>
  <c r="CN112" i="1"/>
  <c r="BW112" i="1"/>
  <c r="BQ112" i="1"/>
  <c r="BN112" i="1"/>
  <c r="BM112" i="1"/>
  <c r="BL112" i="1"/>
  <c r="BK112" i="1"/>
  <c r="BJ112" i="1"/>
  <c r="BH112" i="1"/>
  <c r="BG112" i="1"/>
  <c r="BF112" i="1"/>
  <c r="BE112" i="1"/>
  <c r="BD112" i="1"/>
  <c r="BC112" i="1"/>
  <c r="BB112" i="1"/>
  <c r="AZ112" i="1"/>
  <c r="AW112" i="1"/>
  <c r="AN112" i="1"/>
  <c r="AN133" i="1" s="1"/>
  <c r="AF112" i="1"/>
  <c r="Z112" i="1"/>
  <c r="Q112" i="1"/>
  <c r="Q133" i="1" s="1"/>
  <c r="I112" i="1"/>
  <c r="DI111" i="1"/>
  <c r="DH111" i="1"/>
  <c r="DG111" i="1"/>
  <c r="DE111" i="1"/>
  <c r="DD111" i="1"/>
  <c r="DC111" i="1"/>
  <c r="DB111" i="1"/>
  <c r="DA111" i="1"/>
  <c r="CY111" i="1"/>
  <c r="CX111" i="1"/>
  <c r="CW111" i="1"/>
  <c r="CV111" i="1"/>
  <c r="CU111" i="1"/>
  <c r="CT111" i="1"/>
  <c r="CR111" i="1"/>
  <c r="CQ111" i="1"/>
  <c r="CE111" i="1"/>
  <c r="BX111" i="1"/>
  <c r="BR111" i="1"/>
  <c r="BQ111" i="1"/>
  <c r="BN111" i="1"/>
  <c r="BN128" i="1" s="1"/>
  <c r="BM111" i="1"/>
  <c r="BL111" i="1"/>
  <c r="BK111" i="1"/>
  <c r="BJ111" i="1"/>
  <c r="BH111" i="1"/>
  <c r="BG111" i="1"/>
  <c r="BF111" i="1"/>
  <c r="BE111" i="1"/>
  <c r="BD111" i="1"/>
  <c r="BC111" i="1"/>
  <c r="BA111" i="1"/>
  <c r="AZ111" i="1"/>
  <c r="AN111" i="1"/>
  <c r="AG111" i="1"/>
  <c r="Q111" i="1"/>
  <c r="J111" i="1"/>
  <c r="DH110" i="1"/>
  <c r="DG110" i="1"/>
  <c r="DE110" i="1"/>
  <c r="DD110" i="1"/>
  <c r="DC110" i="1"/>
  <c r="DB110" i="1"/>
  <c r="DA110" i="1"/>
  <c r="DA132" i="1" s="1"/>
  <c r="CX110" i="1"/>
  <c r="CW110" i="1"/>
  <c r="CV110" i="1"/>
  <c r="CU110" i="1"/>
  <c r="CT110" i="1"/>
  <c r="CQ110" i="1"/>
  <c r="CN110" i="1"/>
  <c r="CE110" i="1"/>
  <c r="BX110" i="1"/>
  <c r="BW110" i="1"/>
  <c r="BQ110" i="1"/>
  <c r="BN110" i="1"/>
  <c r="BM110" i="1"/>
  <c r="BL110" i="1"/>
  <c r="BK110" i="1"/>
  <c r="BJ110" i="1"/>
  <c r="BG110" i="1"/>
  <c r="BF110" i="1"/>
  <c r="BE110" i="1"/>
  <c r="BD110" i="1"/>
  <c r="BC110" i="1"/>
  <c r="AZ110" i="1"/>
  <c r="AW110" i="1"/>
  <c r="AN110" i="1"/>
  <c r="AG110" i="1"/>
  <c r="AF110" i="1"/>
  <c r="Z110" i="1"/>
  <c r="Q110" i="1"/>
  <c r="P110" i="1"/>
  <c r="P132" i="1" s="1"/>
  <c r="I110" i="1"/>
  <c r="BA110" i="1" s="1"/>
  <c r="DH109" i="1"/>
  <c r="DG109" i="1"/>
  <c r="DG132" i="1" s="1"/>
  <c r="DE109" i="1"/>
  <c r="DD109" i="1"/>
  <c r="DC109" i="1"/>
  <c r="DB109" i="1"/>
  <c r="DA109" i="1"/>
  <c r="CY109" i="1"/>
  <c r="CU109" i="1"/>
  <c r="CT109" i="1"/>
  <c r="CQ109" i="1"/>
  <c r="CN109" i="1"/>
  <c r="BQ109" i="1"/>
  <c r="BN109" i="1"/>
  <c r="BM109" i="1"/>
  <c r="BM132" i="1" s="1"/>
  <c r="BL109" i="1"/>
  <c r="BK109" i="1"/>
  <c r="BJ109" i="1"/>
  <c r="BH109" i="1"/>
  <c r="BF109" i="1"/>
  <c r="BD109" i="1"/>
  <c r="BC109" i="1"/>
  <c r="AZ109" i="1"/>
  <c r="AW109" i="1"/>
  <c r="AF109" i="1"/>
  <c r="Z109" i="1"/>
  <c r="DI109" i="1" s="1"/>
  <c r="Q109" i="1"/>
  <c r="CZ109" i="1" s="1"/>
  <c r="O109" i="1"/>
  <c r="CX109" i="1" s="1"/>
  <c r="N109" i="1"/>
  <c r="M109" i="1"/>
  <c r="BE109" i="1" s="1"/>
  <c r="J109" i="1"/>
  <c r="I109" i="1"/>
  <c r="DF108" i="1"/>
  <c r="CM108" i="1"/>
  <c r="CL108" i="1"/>
  <c r="CH108" i="1"/>
  <c r="CG108" i="1"/>
  <c r="CF108" i="1"/>
  <c r="CE108" i="1"/>
  <c r="CD108" i="1"/>
  <c r="CC108" i="1"/>
  <c r="CB108" i="1"/>
  <c r="BZ108" i="1"/>
  <c r="BY108" i="1"/>
  <c r="BW108" i="1"/>
  <c r="BU108" i="1"/>
  <c r="BO108" i="1"/>
  <c r="AV108" i="1"/>
  <c r="AU108" i="1"/>
  <c r="AT108" i="1"/>
  <c r="AQ108" i="1"/>
  <c r="AP108" i="1"/>
  <c r="AO108" i="1"/>
  <c r="AN108" i="1"/>
  <c r="AM108" i="1"/>
  <c r="AL108" i="1"/>
  <c r="AK108" i="1"/>
  <c r="AJ108" i="1"/>
  <c r="AI108" i="1"/>
  <c r="AG108" i="1"/>
  <c r="Y108" i="1"/>
  <c r="X108" i="1"/>
  <c r="W108" i="1"/>
  <c r="T108" i="1"/>
  <c r="S108" i="1"/>
  <c r="R108" i="1"/>
  <c r="Q108" i="1"/>
  <c r="P108" i="1"/>
  <c r="O108" i="1"/>
  <c r="N108" i="1"/>
  <c r="M108" i="1"/>
  <c r="L108" i="1"/>
  <c r="K108" i="1"/>
  <c r="J108" i="1"/>
  <c r="H108" i="1"/>
  <c r="DI107" i="1"/>
  <c r="DH107" i="1"/>
  <c r="DG107" i="1"/>
  <c r="DE107" i="1"/>
  <c r="DC107" i="1"/>
  <c r="DB107" i="1"/>
  <c r="DA107" i="1"/>
  <c r="CZ107" i="1"/>
  <c r="CY107" i="1"/>
  <c r="CX107" i="1"/>
  <c r="CW107" i="1"/>
  <c r="CV107" i="1"/>
  <c r="CU107" i="1"/>
  <c r="CT107" i="1"/>
  <c r="CS107" i="1"/>
  <c r="CQ107" i="1"/>
  <c r="CI107" i="1"/>
  <c r="CI140" i="1" s="1"/>
  <c r="BR107" i="1"/>
  <c r="BQ107" i="1"/>
  <c r="BN107" i="1"/>
  <c r="BL107" i="1"/>
  <c r="BK107" i="1"/>
  <c r="BJ107" i="1"/>
  <c r="BI107" i="1"/>
  <c r="BH107" i="1"/>
  <c r="BG107" i="1"/>
  <c r="BF107" i="1"/>
  <c r="BE107" i="1"/>
  <c r="BD107" i="1"/>
  <c r="BC107" i="1"/>
  <c r="BB107" i="1"/>
  <c r="AZ107" i="1"/>
  <c r="AR107" i="1"/>
  <c r="AR140" i="1" s="1"/>
  <c r="U107" i="1"/>
  <c r="I107" i="1"/>
  <c r="I140" i="1" s="1"/>
  <c r="DI106" i="1"/>
  <c r="DH106" i="1"/>
  <c r="DG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Q106" i="1"/>
  <c r="CJ106" i="1"/>
  <c r="DE106" i="1" s="1"/>
  <c r="BR106" i="1"/>
  <c r="BQ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S106" i="1"/>
  <c r="G106" i="1"/>
  <c r="DI105" i="1"/>
  <c r="DH105" i="1"/>
  <c r="DG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J105" i="1"/>
  <c r="BT105" i="1" s="1"/>
  <c r="BR105" i="1"/>
  <c r="BQ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S105" i="1"/>
  <c r="BN105" i="1" s="1"/>
  <c r="G105" i="1"/>
  <c r="DI104" i="1"/>
  <c r="DH104" i="1"/>
  <c r="DG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BV104" i="1"/>
  <c r="BR104" i="1"/>
  <c r="BQ104" i="1"/>
  <c r="BM104" i="1"/>
  <c r="BL104" i="1"/>
  <c r="BK104" i="1"/>
  <c r="BJ104" i="1"/>
  <c r="BI104" i="1"/>
  <c r="BH104" i="1"/>
  <c r="BG104" i="1"/>
  <c r="BF104" i="1"/>
  <c r="BE104" i="1"/>
  <c r="BD104" i="1"/>
  <c r="BB104" i="1"/>
  <c r="AS104" i="1"/>
  <c r="AH104" i="1"/>
  <c r="AF104" i="1"/>
  <c r="AE104" i="1"/>
  <c r="AE108" i="1" s="1"/>
  <c r="V104" i="1"/>
  <c r="DE104" i="1" s="1"/>
  <c r="DH103" i="1"/>
  <c r="DG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N103" i="1"/>
  <c r="CJ103" i="1"/>
  <c r="BQ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W103" i="1"/>
  <c r="AS103" i="1"/>
  <c r="Z103" i="1"/>
  <c r="G103" i="1" s="1"/>
  <c r="V103" i="1"/>
  <c r="DH102" i="1"/>
  <c r="DG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N102" i="1"/>
  <c r="CJ102" i="1" s="1"/>
  <c r="DE102" i="1" s="1"/>
  <c r="BQ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W102" i="1"/>
  <c r="AS102" i="1"/>
  <c r="Z102" i="1"/>
  <c r="DH101" i="1"/>
  <c r="DG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J101" i="1"/>
  <c r="DE101" i="1" s="1"/>
  <c r="BQ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S101" i="1"/>
  <c r="BN101" i="1" s="1"/>
  <c r="Z101" i="1"/>
  <c r="G101" i="1"/>
  <c r="DI100" i="1"/>
  <c r="DH100" i="1"/>
  <c r="DG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J100" i="1"/>
  <c r="DE100" i="1" s="1"/>
  <c r="BT100" i="1"/>
  <c r="BS100" i="1" s="1"/>
  <c r="CO100" i="1" s="1"/>
  <c r="BR100" i="1"/>
  <c r="BQ100" i="1"/>
  <c r="BP100" i="1"/>
  <c r="BP108" i="1" s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S100" i="1"/>
  <c r="BN100" i="1" s="1"/>
  <c r="G100" i="1"/>
  <c r="DI99" i="1"/>
  <c r="DH99" i="1"/>
  <c r="DG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BT99" i="1"/>
  <c r="BR99" i="1"/>
  <c r="BQ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C99" i="1"/>
  <c r="G99" i="1"/>
  <c r="DI98" i="1"/>
  <c r="DH98" i="1"/>
  <c r="DG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Q98" i="1"/>
  <c r="CJ98" i="1"/>
  <c r="DE98" i="1" s="1"/>
  <c r="BR98" i="1"/>
  <c r="BQ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S98" i="1"/>
  <c r="U98" i="1"/>
  <c r="U108" i="1" s="1"/>
  <c r="DI97" i="1"/>
  <c r="DH97" i="1"/>
  <c r="DG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J97" i="1"/>
  <c r="DE97" i="1" s="1"/>
  <c r="BR97" i="1"/>
  <c r="BQ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S97" i="1"/>
  <c r="AC97" i="1" s="1"/>
  <c r="G97" i="1"/>
  <c r="DH96" i="1"/>
  <c r="DG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CQ96" i="1"/>
  <c r="CN96" i="1"/>
  <c r="BT96" i="1"/>
  <c r="BQ96" i="1"/>
  <c r="BM96" i="1"/>
  <c r="BL96" i="1"/>
  <c r="BL108" i="1" s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W96" i="1"/>
  <c r="AS96" i="1"/>
  <c r="BN96" i="1" s="1"/>
  <c r="Z96" i="1"/>
  <c r="G96" i="1"/>
  <c r="DI95" i="1"/>
  <c r="DH95" i="1"/>
  <c r="DG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Q95" i="1"/>
  <c r="CJ95" i="1"/>
  <c r="BT95" i="1"/>
  <c r="BR95" i="1"/>
  <c r="BQ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S95" i="1"/>
  <c r="AC95" i="1"/>
  <c r="V95" i="1"/>
  <c r="G95" i="1"/>
  <c r="DI94" i="1"/>
  <c r="DH94" i="1"/>
  <c r="DG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CR94" i="1"/>
  <c r="CQ94" i="1"/>
  <c r="CJ94" i="1"/>
  <c r="BT94" i="1" s="1"/>
  <c r="BR94" i="1"/>
  <c r="BQ94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S94" i="1"/>
  <c r="AC94" i="1" s="1"/>
  <c r="V94" i="1"/>
  <c r="DI93" i="1"/>
  <c r="DH93" i="1"/>
  <c r="DG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CQ93" i="1"/>
  <c r="CJ93" i="1"/>
  <c r="BT93" i="1" s="1"/>
  <c r="BR93" i="1"/>
  <c r="BQ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S93" i="1"/>
  <c r="AC93" i="1"/>
  <c r="V93" i="1"/>
  <c r="DF91" i="1"/>
  <c r="CM91" i="1"/>
  <c r="CL91" i="1"/>
  <c r="CJ91" i="1"/>
  <c r="CI91" i="1"/>
  <c r="CH91" i="1"/>
  <c r="CE91" i="1"/>
  <c r="CD91" i="1"/>
  <c r="CC91" i="1"/>
  <c r="CB91" i="1"/>
  <c r="CA91" i="1"/>
  <c r="BX91" i="1"/>
  <c r="BW91" i="1"/>
  <c r="BV91" i="1"/>
  <c r="BU91" i="1"/>
  <c r="BO91" i="1"/>
  <c r="AV91" i="1"/>
  <c r="AU91" i="1"/>
  <c r="AT91" i="1"/>
  <c r="AS91" i="1"/>
  <c r="AR91" i="1"/>
  <c r="AQ91" i="1"/>
  <c r="AN91" i="1"/>
  <c r="AM91" i="1"/>
  <c r="AL91" i="1"/>
  <c r="AK91" i="1"/>
  <c r="AJ91" i="1"/>
  <c r="AG91" i="1"/>
  <c r="AF91" i="1"/>
  <c r="AE91" i="1"/>
  <c r="Y91" i="1"/>
  <c r="X91" i="1"/>
  <c r="W91" i="1"/>
  <c r="V91" i="1"/>
  <c r="U91" i="1"/>
  <c r="T91" i="1"/>
  <c r="Q91" i="1"/>
  <c r="P91" i="1"/>
  <c r="O91" i="1"/>
  <c r="N91" i="1"/>
  <c r="M91" i="1"/>
  <c r="L91" i="1"/>
  <c r="J91" i="1"/>
  <c r="I91" i="1"/>
  <c r="H91" i="1"/>
  <c r="DH90" i="1"/>
  <c r="DG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N90" i="1"/>
  <c r="BT90" i="1" s="1"/>
  <c r="BQ90" i="1"/>
  <c r="BP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W90" i="1"/>
  <c r="Z90" i="1"/>
  <c r="G90" i="1" s="1"/>
  <c r="DI89" i="1"/>
  <c r="DH89" i="1"/>
  <c r="DG89" i="1"/>
  <c r="DE89" i="1"/>
  <c r="DD89" i="1"/>
  <c r="DC89" i="1"/>
  <c r="DA89" i="1"/>
  <c r="CZ89" i="1"/>
  <c r="CY89" i="1"/>
  <c r="CX89" i="1"/>
  <c r="CW89" i="1"/>
  <c r="CV89" i="1"/>
  <c r="CU89" i="1"/>
  <c r="CS89" i="1"/>
  <c r="CR89" i="1"/>
  <c r="CQ89" i="1"/>
  <c r="CG89" i="1"/>
  <c r="DB89" i="1" s="1"/>
  <c r="BY89" i="1"/>
  <c r="BR89" i="1"/>
  <c r="BQ89" i="1"/>
  <c r="BP89" i="1"/>
  <c r="BN89" i="1"/>
  <c r="BM89" i="1"/>
  <c r="BL89" i="1"/>
  <c r="BJ89" i="1"/>
  <c r="BI89" i="1"/>
  <c r="BH89" i="1"/>
  <c r="BG89" i="1"/>
  <c r="BF89" i="1"/>
  <c r="BE89" i="1"/>
  <c r="BD89" i="1"/>
  <c r="BB89" i="1"/>
  <c r="BA89" i="1"/>
  <c r="AZ89" i="1"/>
  <c r="AP89" i="1"/>
  <c r="BK89" i="1" s="1"/>
  <c r="AH89" i="1"/>
  <c r="G89" i="1"/>
  <c r="DH88" i="1"/>
  <c r="DG88" i="1"/>
  <c r="DE88" i="1"/>
  <c r="DD88" i="1"/>
  <c r="DC88" i="1"/>
  <c r="DB88" i="1"/>
  <c r="DA88" i="1"/>
  <c r="CZ88" i="1"/>
  <c r="CY88" i="1"/>
  <c r="CX88" i="1"/>
  <c r="CW88" i="1"/>
  <c r="CV88" i="1"/>
  <c r="CU88" i="1"/>
  <c r="CS88" i="1"/>
  <c r="CR88" i="1"/>
  <c r="CQ88" i="1"/>
  <c r="BY88" i="1"/>
  <c r="BT88" i="1" s="1"/>
  <c r="BQ88" i="1"/>
  <c r="BN88" i="1"/>
  <c r="BM88" i="1"/>
  <c r="BL88" i="1"/>
  <c r="BK88" i="1"/>
  <c r="BJ88" i="1"/>
  <c r="BI88" i="1"/>
  <c r="BH88" i="1"/>
  <c r="BG88" i="1"/>
  <c r="BF88" i="1"/>
  <c r="BE88" i="1"/>
  <c r="BD88" i="1"/>
  <c r="BB88" i="1"/>
  <c r="BA88" i="1"/>
  <c r="AZ88" i="1"/>
  <c r="AH88" i="1"/>
  <c r="AC88" i="1" s="1"/>
  <c r="Z88" i="1"/>
  <c r="BR88" i="1" s="1"/>
  <c r="G88" i="1"/>
  <c r="DI87" i="1"/>
  <c r="DH87" i="1"/>
  <c r="DG87" i="1"/>
  <c r="DE87" i="1"/>
  <c r="DD87" i="1"/>
  <c r="DC87" i="1"/>
  <c r="DB87" i="1"/>
  <c r="DA87" i="1"/>
  <c r="CZ87" i="1"/>
  <c r="CY87" i="1"/>
  <c r="CX87" i="1"/>
  <c r="CW87" i="1"/>
  <c r="CV87" i="1"/>
  <c r="CU87" i="1"/>
  <c r="CS87" i="1"/>
  <c r="CR87" i="1"/>
  <c r="CQ87" i="1"/>
  <c r="BY87" i="1"/>
  <c r="BT87" i="1" s="1"/>
  <c r="BR87" i="1"/>
  <c r="BQ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H87" i="1"/>
  <c r="AC87" i="1" s="1"/>
  <c r="G87" i="1"/>
  <c r="DI86" i="1"/>
  <c r="DH86" i="1"/>
  <c r="DG86" i="1"/>
  <c r="DE86" i="1"/>
  <c r="DD86" i="1"/>
  <c r="DC86" i="1"/>
  <c r="DB86" i="1"/>
  <c r="DA86" i="1"/>
  <c r="CZ86" i="1"/>
  <c r="CY86" i="1"/>
  <c r="CX86" i="1"/>
  <c r="CW86" i="1"/>
  <c r="CV86" i="1"/>
  <c r="CU86" i="1"/>
  <c r="CS86" i="1"/>
  <c r="CR86" i="1"/>
  <c r="CQ86" i="1"/>
  <c r="BY86" i="1"/>
  <c r="CT86" i="1" s="1"/>
  <c r="BR86" i="1"/>
  <c r="BQ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H86" i="1"/>
  <c r="AC86" i="1" s="1"/>
  <c r="G86" i="1"/>
  <c r="DI85" i="1"/>
  <c r="DH85" i="1"/>
  <c r="DG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Q85" i="1"/>
  <c r="BT85" i="1"/>
  <c r="BR85" i="1"/>
  <c r="BQ85" i="1"/>
  <c r="BP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C85" i="1"/>
  <c r="AB85" i="1" s="1"/>
  <c r="AX85" i="1" s="1"/>
  <c r="G85" i="1"/>
  <c r="DI84" i="1"/>
  <c r="DH84" i="1"/>
  <c r="DG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/>
  <c r="BT84" i="1"/>
  <c r="BR84" i="1"/>
  <c r="BQ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C84" i="1"/>
  <c r="G84" i="1"/>
  <c r="BS84" i="1" s="1"/>
  <c r="CO84" i="1" s="1"/>
  <c r="DI83" i="1"/>
  <c r="DH83" i="1"/>
  <c r="DG83" i="1"/>
  <c r="DE83" i="1"/>
  <c r="DD83" i="1"/>
  <c r="DC83" i="1"/>
  <c r="DA83" i="1"/>
  <c r="CZ83" i="1"/>
  <c r="CY83" i="1"/>
  <c r="CX83" i="1"/>
  <c r="CW83" i="1"/>
  <c r="CV83" i="1"/>
  <c r="CU83" i="1"/>
  <c r="CT83" i="1"/>
  <c r="CS83" i="1"/>
  <c r="CR83" i="1"/>
  <c r="CQ83" i="1"/>
  <c r="CG83" i="1"/>
  <c r="DB83" i="1" s="1"/>
  <c r="BR83" i="1"/>
  <c r="BQ83" i="1"/>
  <c r="BP83" i="1"/>
  <c r="BN83" i="1"/>
  <c r="BM83" i="1"/>
  <c r="BL83" i="1"/>
  <c r="BJ83" i="1"/>
  <c r="BI83" i="1"/>
  <c r="BH83" i="1"/>
  <c r="BG83" i="1"/>
  <c r="BF83" i="1"/>
  <c r="BE83" i="1"/>
  <c r="BD83" i="1"/>
  <c r="BB83" i="1"/>
  <c r="BA83" i="1"/>
  <c r="AZ83" i="1"/>
  <c r="AP83" i="1"/>
  <c r="BK83" i="1" s="1"/>
  <c r="AH83" i="1"/>
  <c r="BC83" i="1" s="1"/>
  <c r="G83" i="1"/>
  <c r="DI82" i="1"/>
  <c r="DH82" i="1"/>
  <c r="DG82" i="1"/>
  <c r="DE82" i="1"/>
  <c r="DD82" i="1"/>
  <c r="DC82" i="1"/>
  <c r="DA82" i="1"/>
  <c r="CZ82" i="1"/>
  <c r="CY82" i="1"/>
  <c r="CX82" i="1"/>
  <c r="CW82" i="1"/>
  <c r="CV82" i="1"/>
  <c r="CU82" i="1"/>
  <c r="CT82" i="1"/>
  <c r="CS82" i="1"/>
  <c r="CR82" i="1"/>
  <c r="CQ82" i="1"/>
  <c r="BT82" i="1"/>
  <c r="BR82" i="1"/>
  <c r="BQ82" i="1"/>
  <c r="BN82" i="1"/>
  <c r="BM82" i="1"/>
  <c r="BL82" i="1"/>
  <c r="BJ82" i="1"/>
  <c r="BI82" i="1"/>
  <c r="BH82" i="1"/>
  <c r="BG82" i="1"/>
  <c r="BF82" i="1"/>
  <c r="BE82" i="1"/>
  <c r="BD82" i="1"/>
  <c r="BC82" i="1"/>
  <c r="BB82" i="1"/>
  <c r="BA82" i="1"/>
  <c r="AZ82" i="1"/>
  <c r="AC82" i="1"/>
  <c r="S82" i="1"/>
  <c r="DB82" i="1" s="1"/>
  <c r="DI81" i="1"/>
  <c r="DH81" i="1"/>
  <c r="DG81" i="1"/>
  <c r="DE81" i="1"/>
  <c r="DD81" i="1"/>
  <c r="DC81" i="1"/>
  <c r="DB81" i="1"/>
  <c r="DA81" i="1"/>
  <c r="CZ81" i="1"/>
  <c r="CY81" i="1"/>
  <c r="CX81" i="1"/>
  <c r="CW81" i="1"/>
  <c r="CV81" i="1"/>
  <c r="CU81" i="1"/>
  <c r="CS81" i="1"/>
  <c r="CR81" i="1"/>
  <c r="CQ81" i="1"/>
  <c r="BY81" i="1"/>
  <c r="BR81" i="1"/>
  <c r="BQ81" i="1"/>
  <c r="BN81" i="1"/>
  <c r="BM81" i="1"/>
  <c r="BL81" i="1"/>
  <c r="BK81" i="1"/>
  <c r="BJ81" i="1"/>
  <c r="BI81" i="1"/>
  <c r="BH81" i="1"/>
  <c r="BG81" i="1"/>
  <c r="BF81" i="1"/>
  <c r="BE81" i="1"/>
  <c r="BD81" i="1"/>
  <c r="BB81" i="1"/>
  <c r="BA81" i="1"/>
  <c r="AZ81" i="1"/>
  <c r="AH81" i="1"/>
  <c r="BC81" i="1" s="1"/>
  <c r="G81" i="1"/>
  <c r="DI80" i="1"/>
  <c r="DH80" i="1"/>
  <c r="DG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G80" i="1"/>
  <c r="DB80" i="1" s="1"/>
  <c r="BR80" i="1"/>
  <c r="BQ80" i="1"/>
  <c r="BN80" i="1"/>
  <c r="BM80" i="1"/>
  <c r="BL80" i="1"/>
  <c r="BJ80" i="1"/>
  <c r="BI80" i="1"/>
  <c r="BH80" i="1"/>
  <c r="BG80" i="1"/>
  <c r="BF80" i="1"/>
  <c r="BE80" i="1"/>
  <c r="BD80" i="1"/>
  <c r="BB80" i="1"/>
  <c r="BA80" i="1"/>
  <c r="AZ80" i="1"/>
  <c r="AP80" i="1"/>
  <c r="AH80" i="1"/>
  <c r="S80" i="1"/>
  <c r="G80" i="1"/>
  <c r="DI79" i="1"/>
  <c r="DH79" i="1"/>
  <c r="DG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BT79" i="1"/>
  <c r="BR79" i="1"/>
  <c r="BQ79" i="1"/>
  <c r="BN79" i="1"/>
  <c r="BM79" i="1"/>
  <c r="BL79" i="1"/>
  <c r="BK79" i="1"/>
  <c r="BJ79" i="1"/>
  <c r="BI79" i="1"/>
  <c r="BH79" i="1"/>
  <c r="BG79" i="1"/>
  <c r="BF79" i="1"/>
  <c r="BE79" i="1"/>
  <c r="BD79" i="1"/>
  <c r="BB79" i="1"/>
  <c r="BA79" i="1"/>
  <c r="AZ79" i="1"/>
  <c r="AH79" i="1"/>
  <c r="BC79" i="1" s="1"/>
  <c r="G79" i="1"/>
  <c r="DI78" i="1"/>
  <c r="DH78" i="1"/>
  <c r="DG78" i="1"/>
  <c r="DE78" i="1"/>
  <c r="DD78" i="1"/>
  <c r="DC78" i="1"/>
  <c r="DB78" i="1"/>
  <c r="DA78" i="1"/>
  <c r="CZ78" i="1"/>
  <c r="CY78" i="1"/>
  <c r="CX78" i="1"/>
  <c r="CW78" i="1"/>
  <c r="CV78" i="1"/>
  <c r="CU78" i="1"/>
  <c r="CS78" i="1"/>
  <c r="CR78" i="1"/>
  <c r="CQ78" i="1"/>
  <c r="BY78" i="1"/>
  <c r="CT78" i="1" s="1"/>
  <c r="BR78" i="1"/>
  <c r="BQ78" i="1"/>
  <c r="BN78" i="1"/>
  <c r="BM78" i="1"/>
  <c r="BL78" i="1"/>
  <c r="BK78" i="1"/>
  <c r="BJ78" i="1"/>
  <c r="BI78" i="1"/>
  <c r="BH78" i="1"/>
  <c r="BG78" i="1"/>
  <c r="BF78" i="1"/>
  <c r="BE78" i="1"/>
  <c r="BD78" i="1"/>
  <c r="BB78" i="1"/>
  <c r="BA78" i="1"/>
  <c r="AZ78" i="1"/>
  <c r="AH78" i="1"/>
  <c r="G78" i="1"/>
  <c r="DI77" i="1"/>
  <c r="DE77" i="1"/>
  <c r="DD77" i="1"/>
  <c r="DC77" i="1"/>
  <c r="DB77" i="1"/>
  <c r="DA77" i="1"/>
  <c r="CZ77" i="1"/>
  <c r="CS77" i="1"/>
  <c r="CR77" i="1"/>
  <c r="CQ77" i="1"/>
  <c r="BY77" i="1"/>
  <c r="BR77" i="1"/>
  <c r="BQ77" i="1"/>
  <c r="BN77" i="1"/>
  <c r="BM77" i="1"/>
  <c r="BL77" i="1"/>
  <c r="BK77" i="1"/>
  <c r="BJ77" i="1"/>
  <c r="BI77" i="1"/>
  <c r="BB77" i="1"/>
  <c r="BA77" i="1"/>
  <c r="AZ77" i="1"/>
  <c r="AH77" i="1"/>
  <c r="G77" i="1"/>
  <c r="DI76" i="1"/>
  <c r="DE76" i="1"/>
  <c r="DD76" i="1"/>
  <c r="DC76" i="1"/>
  <c r="DB76" i="1"/>
  <c r="DA76" i="1"/>
  <c r="CZ76" i="1"/>
  <c r="CS76" i="1"/>
  <c r="CR76" i="1"/>
  <c r="CQ76" i="1"/>
  <c r="BT76" i="1"/>
  <c r="BR76" i="1"/>
  <c r="BQ76" i="1"/>
  <c r="BN76" i="1"/>
  <c r="BM76" i="1"/>
  <c r="BL76" i="1"/>
  <c r="BK76" i="1"/>
  <c r="BJ76" i="1"/>
  <c r="BI76" i="1"/>
  <c r="BB76" i="1"/>
  <c r="BA76" i="1"/>
  <c r="AZ76" i="1"/>
  <c r="AH76" i="1"/>
  <c r="AC76" i="1" s="1"/>
  <c r="K76" i="1"/>
  <c r="CT76" i="1" s="1"/>
  <c r="G76" i="1"/>
  <c r="DI75" i="1"/>
  <c r="DE75" i="1"/>
  <c r="DD75" i="1"/>
  <c r="DC75" i="1"/>
  <c r="DB75" i="1"/>
  <c r="DA75" i="1"/>
  <c r="CZ75" i="1"/>
  <c r="CT75" i="1"/>
  <c r="CS75" i="1"/>
  <c r="CR75" i="1"/>
  <c r="CQ75" i="1"/>
  <c r="BT75" i="1"/>
  <c r="BR75" i="1"/>
  <c r="BQ75" i="1"/>
  <c r="BN75" i="1"/>
  <c r="BM75" i="1"/>
  <c r="BK75" i="1"/>
  <c r="BJ75" i="1"/>
  <c r="BI75" i="1"/>
  <c r="BC75" i="1"/>
  <c r="BB75" i="1"/>
  <c r="BA75" i="1"/>
  <c r="AZ75" i="1"/>
  <c r="AC75" i="1"/>
  <c r="G75" i="1"/>
  <c r="DI74" i="1"/>
  <c r="DE74" i="1"/>
  <c r="DD74" i="1"/>
  <c r="DC74" i="1"/>
  <c r="DB74" i="1"/>
  <c r="DA74" i="1"/>
  <c r="CZ74" i="1"/>
  <c r="CT74" i="1"/>
  <c r="CS74" i="1"/>
  <c r="CR74" i="1"/>
  <c r="CP74" i="1" s="1"/>
  <c r="CQ74" i="1"/>
  <c r="BT74" i="1"/>
  <c r="BR74" i="1"/>
  <c r="BQ74" i="1"/>
  <c r="BN74" i="1"/>
  <c r="BM74" i="1"/>
  <c r="BK74" i="1"/>
  <c r="BJ74" i="1"/>
  <c r="BI74" i="1"/>
  <c r="BC74" i="1"/>
  <c r="BB74" i="1"/>
  <c r="BA74" i="1"/>
  <c r="AZ74" i="1"/>
  <c r="AC74" i="1"/>
  <c r="G74" i="1"/>
  <c r="AB74" i="1" s="1"/>
  <c r="AX74" i="1" s="1"/>
  <c r="DH73" i="1"/>
  <c r="DG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N73" i="1"/>
  <c r="BQ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W73" i="1"/>
  <c r="Z73" i="1"/>
  <c r="G73" i="1"/>
  <c r="DI72" i="1"/>
  <c r="DH72" i="1"/>
  <c r="DG72" i="1"/>
  <c r="DE72" i="1"/>
  <c r="DD72" i="1"/>
  <c r="DC72" i="1"/>
  <c r="DB72" i="1"/>
  <c r="DA72" i="1"/>
  <c r="CZ72" i="1"/>
  <c r="CY72" i="1"/>
  <c r="CX72" i="1"/>
  <c r="CW72" i="1"/>
  <c r="CV72" i="1"/>
  <c r="CU72" i="1"/>
  <c r="CS72" i="1"/>
  <c r="CR72" i="1"/>
  <c r="CQ72" i="1"/>
  <c r="BY72" i="1"/>
  <c r="CT72" i="1" s="1"/>
  <c r="BR72" i="1"/>
  <c r="BQ72" i="1"/>
  <c r="BN72" i="1"/>
  <c r="BM72" i="1"/>
  <c r="BL72" i="1"/>
  <c r="BK72" i="1"/>
  <c r="BJ72" i="1"/>
  <c r="BI72" i="1"/>
  <c r="BH72" i="1"/>
  <c r="BG72" i="1"/>
  <c r="BF72" i="1"/>
  <c r="BE72" i="1"/>
  <c r="BD72" i="1"/>
  <c r="BB72" i="1"/>
  <c r="BA72" i="1"/>
  <c r="AZ72" i="1"/>
  <c r="AH72" i="1"/>
  <c r="AC72" i="1" s="1"/>
  <c r="G72" i="1"/>
  <c r="DI71" i="1"/>
  <c r="DH71" i="1"/>
  <c r="DG71" i="1"/>
  <c r="DE71" i="1"/>
  <c r="DD71" i="1"/>
  <c r="DC71" i="1"/>
  <c r="DB71" i="1"/>
  <c r="DA71" i="1"/>
  <c r="CZ71" i="1"/>
  <c r="CY71" i="1"/>
  <c r="CX71" i="1"/>
  <c r="CW71" i="1"/>
  <c r="CV71" i="1"/>
  <c r="CU71" i="1"/>
  <c r="CS71" i="1"/>
  <c r="CR71" i="1"/>
  <c r="CQ71" i="1"/>
  <c r="BT71" i="1"/>
  <c r="BR71" i="1"/>
  <c r="BQ71" i="1"/>
  <c r="BN71" i="1"/>
  <c r="BM71" i="1"/>
  <c r="BL71" i="1"/>
  <c r="BK71" i="1"/>
  <c r="BJ71" i="1"/>
  <c r="BI71" i="1"/>
  <c r="BH71" i="1"/>
  <c r="BG71" i="1"/>
  <c r="BF71" i="1"/>
  <c r="BE71" i="1"/>
  <c r="BD71" i="1"/>
  <c r="BB71" i="1"/>
  <c r="BA71" i="1"/>
  <c r="AZ71" i="1"/>
  <c r="AC71" i="1"/>
  <c r="K71" i="1"/>
  <c r="CT71" i="1" s="1"/>
  <c r="DI70" i="1"/>
  <c r="DH70" i="1"/>
  <c r="DG70" i="1"/>
  <c r="DE70" i="1"/>
  <c r="DD70" i="1"/>
  <c r="DC70" i="1"/>
  <c r="DB70" i="1"/>
  <c r="DA70" i="1"/>
  <c r="CZ70" i="1"/>
  <c r="CY70" i="1"/>
  <c r="CX70" i="1"/>
  <c r="CW70" i="1"/>
  <c r="CV70" i="1"/>
  <c r="CU70" i="1"/>
  <c r="CS70" i="1"/>
  <c r="CR70" i="1"/>
  <c r="CQ70" i="1"/>
  <c r="BY70" i="1"/>
  <c r="CT70" i="1" s="1"/>
  <c r="BR70" i="1"/>
  <c r="BQ70" i="1"/>
  <c r="BP70" i="1"/>
  <c r="BN70" i="1"/>
  <c r="BM70" i="1"/>
  <c r="BL70" i="1"/>
  <c r="BK70" i="1"/>
  <c r="BJ70" i="1"/>
  <c r="BI70" i="1"/>
  <c r="BH70" i="1"/>
  <c r="BG70" i="1"/>
  <c r="BF70" i="1"/>
  <c r="BE70" i="1"/>
  <c r="BD70" i="1"/>
  <c r="BB70" i="1"/>
  <c r="BA70" i="1"/>
  <c r="AZ70" i="1"/>
  <c r="AH70" i="1"/>
  <c r="BC70" i="1" s="1"/>
  <c r="G70" i="1"/>
  <c r="DI69" i="1"/>
  <c r="DH69" i="1"/>
  <c r="DG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BT69" i="1"/>
  <c r="BR69" i="1"/>
  <c r="BQ69" i="1"/>
  <c r="BP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C69" i="1"/>
  <c r="AB69" i="1" s="1"/>
  <c r="AX69" i="1" s="1"/>
  <c r="G69" i="1"/>
  <c r="DH68" i="1"/>
  <c r="DG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N68" i="1"/>
  <c r="BT68" i="1" s="1"/>
  <c r="BQ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W68" i="1"/>
  <c r="AC68" i="1" s="1"/>
  <c r="Z68" i="1"/>
  <c r="G68" i="1"/>
  <c r="DH67" i="1"/>
  <c r="DG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BT67" i="1"/>
  <c r="BQ67" i="1"/>
  <c r="BP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C67" i="1"/>
  <c r="Z67" i="1"/>
  <c r="DH66" i="1"/>
  <c r="DG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Q66" i="1"/>
  <c r="CN66" i="1"/>
  <c r="BT66" i="1" s="1"/>
  <c r="BQ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W66" i="1"/>
  <c r="BR66" i="1" s="1"/>
  <c r="G66" i="1"/>
  <c r="DH65" i="1"/>
  <c r="DG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Q65" i="1"/>
  <c r="CN65" i="1"/>
  <c r="BT65" i="1" s="1"/>
  <c r="BQ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W65" i="1"/>
  <c r="AC65" i="1" s="1"/>
  <c r="Z65" i="1"/>
  <c r="DI64" i="1"/>
  <c r="DH64" i="1"/>
  <c r="DG64" i="1"/>
  <c r="DE64" i="1"/>
  <c r="DD64" i="1"/>
  <c r="DC64" i="1"/>
  <c r="DB64" i="1"/>
  <c r="CZ64" i="1"/>
  <c r="CY64" i="1"/>
  <c r="CX64" i="1"/>
  <c r="CW64" i="1"/>
  <c r="CV64" i="1"/>
  <c r="CU64" i="1"/>
  <c r="CS64" i="1"/>
  <c r="CR64" i="1"/>
  <c r="CQ64" i="1"/>
  <c r="CF64" i="1"/>
  <c r="CF137" i="1" s="1"/>
  <c r="BR64" i="1"/>
  <c r="BQ64" i="1"/>
  <c r="BN64" i="1"/>
  <c r="BM64" i="1"/>
  <c r="BL64" i="1"/>
  <c r="BK64" i="1"/>
  <c r="BI64" i="1"/>
  <c r="BH64" i="1"/>
  <c r="BG64" i="1"/>
  <c r="BF64" i="1"/>
  <c r="BE64" i="1"/>
  <c r="BD64" i="1"/>
  <c r="BB64" i="1"/>
  <c r="BA64" i="1"/>
  <c r="AZ64" i="1"/>
  <c r="AO64" i="1"/>
  <c r="BJ64" i="1" s="1"/>
  <c r="AH64" i="1"/>
  <c r="R64" i="1"/>
  <c r="K64" i="1"/>
  <c r="DI63" i="1"/>
  <c r="DH63" i="1"/>
  <c r="DG63" i="1"/>
  <c r="DE63" i="1"/>
  <c r="DD63" i="1"/>
  <c r="DC63" i="1"/>
  <c r="DA63" i="1"/>
  <c r="CZ63" i="1"/>
  <c r="CY63" i="1"/>
  <c r="CX63" i="1"/>
  <c r="CW63" i="1"/>
  <c r="CV63" i="1"/>
  <c r="CU63" i="1"/>
  <c r="CS63" i="1"/>
  <c r="CR63" i="1"/>
  <c r="CQ63" i="1"/>
  <c r="BY63" i="1"/>
  <c r="CT63" i="1" s="1"/>
  <c r="BR63" i="1"/>
  <c r="BQ63" i="1"/>
  <c r="BN63" i="1"/>
  <c r="BM63" i="1"/>
  <c r="BL63" i="1"/>
  <c r="BJ63" i="1"/>
  <c r="BI63" i="1"/>
  <c r="BH63" i="1"/>
  <c r="BG63" i="1"/>
  <c r="BF63" i="1"/>
  <c r="BE63" i="1"/>
  <c r="BD63" i="1"/>
  <c r="BB63" i="1"/>
  <c r="BA63" i="1"/>
  <c r="AZ63" i="1"/>
  <c r="AH63" i="1"/>
  <c r="AC63" i="1" s="1"/>
  <c r="S63" i="1"/>
  <c r="DB63" i="1" s="1"/>
  <c r="K63" i="1"/>
  <c r="DI62" i="1"/>
  <c r="DH62" i="1"/>
  <c r="DG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G62" i="1"/>
  <c r="BT62" i="1" s="1"/>
  <c r="BR62" i="1"/>
  <c r="BQ62" i="1"/>
  <c r="BP62" i="1"/>
  <c r="BN62" i="1"/>
  <c r="BM62" i="1"/>
  <c r="BL62" i="1"/>
  <c r="BJ62" i="1"/>
  <c r="BI62" i="1"/>
  <c r="BH62" i="1"/>
  <c r="BG62" i="1"/>
  <c r="BF62" i="1"/>
  <c r="BE62" i="1"/>
  <c r="BD62" i="1"/>
  <c r="BC62" i="1"/>
  <c r="BB62" i="1"/>
  <c r="BA62" i="1"/>
  <c r="AZ62" i="1"/>
  <c r="AP62" i="1"/>
  <c r="G62" i="1"/>
  <c r="DH61" i="1"/>
  <c r="DG61" i="1"/>
  <c r="DE61" i="1"/>
  <c r="DD61" i="1"/>
  <c r="DC61" i="1"/>
  <c r="DB61" i="1"/>
  <c r="DA61" i="1"/>
  <c r="CZ61" i="1"/>
  <c r="CY61" i="1"/>
  <c r="CX61" i="1"/>
  <c r="CW61" i="1"/>
  <c r="CV61" i="1"/>
  <c r="CU61" i="1"/>
  <c r="CT61" i="1"/>
  <c r="CS61" i="1"/>
  <c r="CR61" i="1"/>
  <c r="CQ61" i="1"/>
  <c r="CN61" i="1"/>
  <c r="DI61" i="1" s="1"/>
  <c r="BQ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AZ61" i="1"/>
  <c r="AW61" i="1"/>
  <c r="AC61" i="1" s="1"/>
  <c r="G61" i="1"/>
  <c r="DH60" i="1"/>
  <c r="DG60" i="1"/>
  <c r="DE60" i="1"/>
  <c r="DD60" i="1"/>
  <c r="DC60" i="1"/>
  <c r="DB60" i="1"/>
  <c r="DA60" i="1"/>
  <c r="CZ60" i="1"/>
  <c r="CY60" i="1"/>
  <c r="CX60" i="1"/>
  <c r="CW60" i="1"/>
  <c r="CV60" i="1"/>
  <c r="CU60" i="1"/>
  <c r="CT60" i="1"/>
  <c r="CS60" i="1"/>
  <c r="CR60" i="1"/>
  <c r="CQ60" i="1"/>
  <c r="CN60" i="1"/>
  <c r="BT60" i="1" s="1"/>
  <c r="BQ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W60" i="1"/>
  <c r="AC60" i="1" s="1"/>
  <c r="Z60" i="1"/>
  <c r="G60" i="1" s="1"/>
  <c r="DH59" i="1"/>
  <c r="DG59" i="1"/>
  <c r="DE59" i="1"/>
  <c r="DD59" i="1"/>
  <c r="DC59" i="1"/>
  <c r="DB59" i="1"/>
  <c r="DA59" i="1"/>
  <c r="CZ59" i="1"/>
  <c r="CY59" i="1"/>
  <c r="CX59" i="1"/>
  <c r="CW59" i="1"/>
  <c r="CV59" i="1"/>
  <c r="CT59" i="1"/>
  <c r="CS59" i="1"/>
  <c r="CR59" i="1"/>
  <c r="CQ59" i="1"/>
  <c r="CN59" i="1"/>
  <c r="BZ59" i="1"/>
  <c r="BQ59" i="1"/>
  <c r="BN59" i="1"/>
  <c r="BM59" i="1"/>
  <c r="BL59" i="1"/>
  <c r="BK59" i="1"/>
  <c r="BJ59" i="1"/>
  <c r="BI59" i="1"/>
  <c r="BH59" i="1"/>
  <c r="BG59" i="1"/>
  <c r="BF59" i="1"/>
  <c r="BE59" i="1"/>
  <c r="BC59" i="1"/>
  <c r="BB59" i="1"/>
  <c r="BA59" i="1"/>
  <c r="AZ59" i="1"/>
  <c r="AW59" i="1"/>
  <c r="AI59" i="1"/>
  <c r="AI137" i="1" s="1"/>
  <c r="Z59" i="1"/>
  <c r="L59" i="1"/>
  <c r="L137" i="1" s="1"/>
  <c r="CL58" i="1"/>
  <c r="CK58" i="1"/>
  <c r="CK130" i="1" s="1"/>
  <c r="CJ58" i="1"/>
  <c r="CH58" i="1"/>
  <c r="CE58" i="1"/>
  <c r="CD58" i="1"/>
  <c r="CC58" i="1"/>
  <c r="CB58" i="1"/>
  <c r="CA58" i="1"/>
  <c r="BZ58" i="1"/>
  <c r="BY58" i="1"/>
  <c r="BX58" i="1"/>
  <c r="BV58" i="1"/>
  <c r="BU58" i="1"/>
  <c r="AU58" i="1"/>
  <c r="AS58" i="1"/>
  <c r="AQ58" i="1"/>
  <c r="AN58" i="1"/>
  <c r="AM58" i="1"/>
  <c r="AL58" i="1"/>
  <c r="AK58" i="1"/>
  <c r="AJ58" i="1"/>
  <c r="AH58" i="1"/>
  <c r="AG58" i="1"/>
  <c r="AE58" i="1"/>
  <c r="X58" i="1"/>
  <c r="V58" i="1"/>
  <c r="T58" i="1"/>
  <c r="S58" i="1"/>
  <c r="Q58" i="1"/>
  <c r="P58" i="1"/>
  <c r="O58" i="1"/>
  <c r="N58" i="1"/>
  <c r="M58" i="1"/>
  <c r="K58" i="1"/>
  <c r="J58" i="1"/>
  <c r="H58" i="1"/>
  <c r="DH57" i="1"/>
  <c r="DG57" i="1"/>
  <c r="DE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CR57" i="1"/>
  <c r="CQ57" i="1"/>
  <c r="CN57" i="1"/>
  <c r="BT57" i="1" s="1"/>
  <c r="BQ57" i="1"/>
  <c r="BN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W57" i="1"/>
  <c r="AC57" i="1" s="1"/>
  <c r="Z57" i="1"/>
  <c r="DI56" i="1"/>
  <c r="DH56" i="1"/>
  <c r="DG56" i="1"/>
  <c r="DE56" i="1"/>
  <c r="DC56" i="1"/>
  <c r="DB56" i="1"/>
  <c r="DA56" i="1"/>
  <c r="CZ56" i="1"/>
  <c r="CY56" i="1"/>
  <c r="CX56" i="1"/>
  <c r="CW56" i="1"/>
  <c r="CV56" i="1"/>
  <c r="CT56" i="1"/>
  <c r="CS56" i="1"/>
  <c r="CR56" i="1"/>
  <c r="CQ56" i="1"/>
  <c r="CI56" i="1"/>
  <c r="DD56" i="1" s="1"/>
  <c r="BR56" i="1"/>
  <c r="BQ56" i="1"/>
  <c r="BN56" i="1"/>
  <c r="BL56" i="1"/>
  <c r="BK56" i="1"/>
  <c r="BJ56" i="1"/>
  <c r="BI56" i="1"/>
  <c r="BH56" i="1"/>
  <c r="BG56" i="1"/>
  <c r="BF56" i="1"/>
  <c r="BE56" i="1"/>
  <c r="BC56" i="1"/>
  <c r="BB56" i="1"/>
  <c r="BA56" i="1"/>
  <c r="AZ56" i="1"/>
  <c r="AR56" i="1"/>
  <c r="BM56" i="1" s="1"/>
  <c r="AI56" i="1"/>
  <c r="AI58" i="1" s="1"/>
  <c r="L56" i="1"/>
  <c r="G56" i="1" s="1"/>
  <c r="DI55" i="1"/>
  <c r="DH55" i="1"/>
  <c r="DG55" i="1"/>
  <c r="DE55" i="1"/>
  <c r="DD55" i="1"/>
  <c r="DC55" i="1"/>
  <c r="DB55" i="1"/>
  <c r="DA55" i="1"/>
  <c r="CZ55" i="1"/>
  <c r="CY55" i="1"/>
  <c r="CX55" i="1"/>
  <c r="CW55" i="1"/>
  <c r="CV55" i="1"/>
  <c r="CU55" i="1"/>
  <c r="CT55" i="1"/>
  <c r="CS55" i="1"/>
  <c r="CR55" i="1"/>
  <c r="CQ55" i="1"/>
  <c r="BT55" i="1"/>
  <c r="BS55" i="1" s="1"/>
  <c r="CO55" i="1" s="1"/>
  <c r="BR55" i="1"/>
  <c r="BQ55" i="1"/>
  <c r="BN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R55" i="1"/>
  <c r="BM55" i="1" s="1"/>
  <c r="G55" i="1"/>
  <c r="DI54" i="1"/>
  <c r="DH54" i="1"/>
  <c r="DG54" i="1"/>
  <c r="DE54" i="1"/>
  <c r="DC54" i="1"/>
  <c r="DB54" i="1"/>
  <c r="DA54" i="1"/>
  <c r="CZ54" i="1"/>
  <c r="CY54" i="1"/>
  <c r="CX54" i="1"/>
  <c r="CW54" i="1"/>
  <c r="CV54" i="1"/>
  <c r="CU54" i="1"/>
  <c r="CT54" i="1"/>
  <c r="CS54" i="1"/>
  <c r="CQ54" i="1"/>
  <c r="CI54" i="1"/>
  <c r="DD54" i="1" s="1"/>
  <c r="BW54" i="1"/>
  <c r="BR54" i="1"/>
  <c r="BQ54" i="1"/>
  <c r="BN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AZ54" i="1"/>
  <c r="AF54" i="1"/>
  <c r="AC54" i="1" s="1"/>
  <c r="I54" i="1"/>
  <c r="G54" i="1"/>
  <c r="DI53" i="1"/>
  <c r="DH53" i="1"/>
  <c r="DG53" i="1"/>
  <c r="DE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Q53" i="1"/>
  <c r="CI53" i="1"/>
  <c r="DD53" i="1" s="1"/>
  <c r="BT53" i="1"/>
  <c r="BS53" i="1" s="1"/>
  <c r="CO53" i="1" s="1"/>
  <c r="BR53" i="1"/>
  <c r="BQ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C53" i="1"/>
  <c r="G53" i="1"/>
  <c r="DH52" i="1"/>
  <c r="DG52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Q52" i="1"/>
  <c r="BW52" i="1"/>
  <c r="BQ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W52" i="1"/>
  <c r="Z52" i="1"/>
  <c r="G52" i="1" s="1"/>
  <c r="DH51" i="1"/>
  <c r="DG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Q51" i="1"/>
  <c r="CN51" i="1"/>
  <c r="DI51" i="1" s="1"/>
  <c r="BQ51" i="1"/>
  <c r="BN51" i="1"/>
  <c r="BM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W51" i="1"/>
  <c r="AC51" i="1" s="1"/>
  <c r="G51" i="1"/>
  <c r="DI50" i="1"/>
  <c r="DH50" i="1"/>
  <c r="DG50" i="1"/>
  <c r="DE50" i="1"/>
  <c r="DC50" i="1"/>
  <c r="DB50" i="1"/>
  <c r="DA50" i="1"/>
  <c r="CZ50" i="1"/>
  <c r="CY50" i="1"/>
  <c r="CX50" i="1"/>
  <c r="CW50" i="1"/>
  <c r="CV50" i="1"/>
  <c r="CU50" i="1"/>
  <c r="CT50" i="1"/>
  <c r="CS50" i="1"/>
  <c r="CQ50" i="1"/>
  <c r="CI50" i="1"/>
  <c r="BT50" i="1"/>
  <c r="BR50" i="1"/>
  <c r="BQ50" i="1"/>
  <c r="BN50" i="1"/>
  <c r="BL50" i="1"/>
  <c r="BK50" i="1"/>
  <c r="BJ50" i="1"/>
  <c r="BI50" i="1"/>
  <c r="BH50" i="1"/>
  <c r="BG50" i="1"/>
  <c r="BF50" i="1"/>
  <c r="BE50" i="1"/>
  <c r="BD50" i="1"/>
  <c r="BC50" i="1"/>
  <c r="BB50" i="1"/>
  <c r="AZ50" i="1"/>
  <c r="AR50" i="1"/>
  <c r="AF50" i="1"/>
  <c r="U50" i="1"/>
  <c r="I50" i="1"/>
  <c r="DI49" i="1"/>
  <c r="DH49" i="1"/>
  <c r="DG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CQ49" i="1"/>
  <c r="BW49" i="1"/>
  <c r="CR49" i="1" s="1"/>
  <c r="BT49" i="1"/>
  <c r="BS49" i="1" s="1"/>
  <c r="CO49" i="1" s="1"/>
  <c r="BR49" i="1"/>
  <c r="BQ49" i="1"/>
  <c r="BN49" i="1"/>
  <c r="BM49" i="1"/>
  <c r="BK49" i="1"/>
  <c r="BJ49" i="1"/>
  <c r="BI49" i="1"/>
  <c r="BH49" i="1"/>
  <c r="BG49" i="1"/>
  <c r="BF49" i="1"/>
  <c r="BE49" i="1"/>
  <c r="BD49" i="1"/>
  <c r="BC49" i="1"/>
  <c r="BB49" i="1"/>
  <c r="AZ49" i="1"/>
  <c r="AF49" i="1"/>
  <c r="BA49" i="1" s="1"/>
  <c r="G49" i="1"/>
  <c r="DI48" i="1"/>
  <c r="DG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Q48" i="1"/>
  <c r="CM48" i="1"/>
  <c r="DH48" i="1" s="1"/>
  <c r="BW48" i="1"/>
  <c r="CR48" i="1" s="1"/>
  <c r="BR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AZ48" i="1"/>
  <c r="AV48" i="1"/>
  <c r="AF48" i="1"/>
  <c r="BA48" i="1" s="1"/>
  <c r="G48" i="1"/>
  <c r="DH47" i="1"/>
  <c r="DG47" i="1"/>
  <c r="DE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I47" i="1"/>
  <c r="DD47" i="1" s="1"/>
  <c r="BQ47" i="1"/>
  <c r="BN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R47" i="1"/>
  <c r="AC47" i="1" s="1"/>
  <c r="Z47" i="1"/>
  <c r="G47" i="1" s="1"/>
  <c r="DI46" i="1"/>
  <c r="DH46" i="1"/>
  <c r="DG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CR46" i="1"/>
  <c r="CQ46" i="1"/>
  <c r="BT46" i="1"/>
  <c r="BR46" i="1"/>
  <c r="BQ46" i="1"/>
  <c r="BN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R46" i="1"/>
  <c r="AC46" i="1" s="1"/>
  <c r="G46" i="1"/>
  <c r="DI45" i="1"/>
  <c r="DH45" i="1"/>
  <c r="DG45" i="1"/>
  <c r="DE45" i="1"/>
  <c r="DC45" i="1"/>
  <c r="DB45" i="1"/>
  <c r="DA45" i="1"/>
  <c r="CZ45" i="1"/>
  <c r="CY45" i="1"/>
  <c r="CX45" i="1"/>
  <c r="CW45" i="1"/>
  <c r="CV45" i="1"/>
  <c r="CU45" i="1"/>
  <c r="CT45" i="1"/>
  <c r="CS45" i="1"/>
  <c r="CR45" i="1"/>
  <c r="CQ45" i="1"/>
  <c r="CI45" i="1"/>
  <c r="DD45" i="1" s="1"/>
  <c r="BR45" i="1"/>
  <c r="BQ45" i="1"/>
  <c r="BN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R45" i="1"/>
  <c r="BM45" i="1" s="1"/>
  <c r="G45" i="1"/>
  <c r="DI44" i="1"/>
  <c r="DH44" i="1"/>
  <c r="DG44" i="1"/>
  <c r="DE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Q44" i="1"/>
  <c r="CI44" i="1"/>
  <c r="DD44" i="1" s="1"/>
  <c r="BR44" i="1"/>
  <c r="BQ44" i="1"/>
  <c r="BP44" i="1"/>
  <c r="BN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R44" i="1"/>
  <c r="BM44" i="1" s="1"/>
  <c r="G44" i="1"/>
  <c r="DI43" i="1"/>
  <c r="DH43" i="1"/>
  <c r="DG43" i="1"/>
  <c r="DE43" i="1"/>
  <c r="DC43" i="1"/>
  <c r="DB43" i="1"/>
  <c r="DA43" i="1"/>
  <c r="CZ43" i="1"/>
  <c r="CY43" i="1"/>
  <c r="CX43" i="1"/>
  <c r="CW43" i="1"/>
  <c r="CV43" i="1"/>
  <c r="CU43" i="1"/>
  <c r="CT43" i="1"/>
  <c r="CS43" i="1"/>
  <c r="CR43" i="1"/>
  <c r="CQ43" i="1"/>
  <c r="CI43" i="1"/>
  <c r="BT43" i="1" s="1"/>
  <c r="BR43" i="1"/>
  <c r="BQ43" i="1"/>
  <c r="BN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R43" i="1"/>
  <c r="AC43" i="1" s="1"/>
  <c r="U43" i="1"/>
  <c r="G43" i="1" s="1"/>
  <c r="DI42" i="1"/>
  <c r="DH42" i="1"/>
  <c r="DG42" i="1"/>
  <c r="DE42" i="1"/>
  <c r="DC42" i="1"/>
  <c r="DB42" i="1"/>
  <c r="DA42" i="1"/>
  <c r="CZ42" i="1"/>
  <c r="CY42" i="1"/>
  <c r="CX42" i="1"/>
  <c r="CW42" i="1"/>
  <c r="CV42" i="1"/>
  <c r="CU42" i="1"/>
  <c r="CT42" i="1"/>
  <c r="CS42" i="1"/>
  <c r="CR42" i="1"/>
  <c r="CQ42" i="1"/>
  <c r="CI42" i="1"/>
  <c r="BT42" i="1" s="1"/>
  <c r="BR42" i="1"/>
  <c r="BQ42" i="1"/>
  <c r="BP42" i="1"/>
  <c r="BN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R42" i="1"/>
  <c r="AC42" i="1" s="1"/>
  <c r="U42" i="1"/>
  <c r="DI41" i="1"/>
  <c r="DH41" i="1"/>
  <c r="DG41" i="1"/>
  <c r="DE41" i="1"/>
  <c r="DD41" i="1"/>
  <c r="DC41" i="1"/>
  <c r="DB41" i="1"/>
  <c r="CZ41" i="1"/>
  <c r="CY41" i="1"/>
  <c r="CX41" i="1"/>
  <c r="CW41" i="1"/>
  <c r="CV41" i="1"/>
  <c r="CU41" i="1"/>
  <c r="CT41" i="1"/>
  <c r="CS41" i="1"/>
  <c r="CR41" i="1"/>
  <c r="CQ41" i="1"/>
  <c r="CF41" i="1"/>
  <c r="DA41" i="1" s="1"/>
  <c r="BR41" i="1"/>
  <c r="BQ41" i="1"/>
  <c r="BP41" i="1"/>
  <c r="BN41" i="1"/>
  <c r="BM41" i="1"/>
  <c r="BL41" i="1"/>
  <c r="BK41" i="1"/>
  <c r="BI41" i="1"/>
  <c r="BH41" i="1"/>
  <c r="BG41" i="1"/>
  <c r="BF41" i="1"/>
  <c r="BE41" i="1"/>
  <c r="BD41" i="1"/>
  <c r="BC41" i="1"/>
  <c r="BB41" i="1"/>
  <c r="BA41" i="1"/>
  <c r="AZ41" i="1"/>
  <c r="AO41" i="1"/>
  <c r="AO135" i="1" s="1"/>
  <c r="R41" i="1"/>
  <c r="R135" i="1" s="1"/>
  <c r="DI40" i="1"/>
  <c r="DH40" i="1"/>
  <c r="DG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CQ40" i="1"/>
  <c r="BT40" i="1"/>
  <c r="BR40" i="1"/>
  <c r="BQ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C40" i="1"/>
  <c r="Z40" i="1"/>
  <c r="G40" i="1"/>
  <c r="DI39" i="1"/>
  <c r="DG39" i="1"/>
  <c r="DE39" i="1"/>
  <c r="DD39" i="1"/>
  <c r="DC39" i="1"/>
  <c r="DA39" i="1"/>
  <c r="CZ39" i="1"/>
  <c r="CY39" i="1"/>
  <c r="CX39" i="1"/>
  <c r="CW39" i="1"/>
  <c r="CV39" i="1"/>
  <c r="CU39" i="1"/>
  <c r="CT39" i="1"/>
  <c r="CS39" i="1"/>
  <c r="CR39" i="1"/>
  <c r="CQ39" i="1"/>
  <c r="CM39" i="1"/>
  <c r="CG39" i="1"/>
  <c r="DB39" i="1" s="1"/>
  <c r="BR39" i="1"/>
  <c r="BN39" i="1"/>
  <c r="BM39" i="1"/>
  <c r="BL39" i="1"/>
  <c r="BJ39" i="1"/>
  <c r="BI39" i="1"/>
  <c r="BH39" i="1"/>
  <c r="BG39" i="1"/>
  <c r="BF39" i="1"/>
  <c r="BE39" i="1"/>
  <c r="BD39" i="1"/>
  <c r="BC39" i="1"/>
  <c r="BB39" i="1"/>
  <c r="BA39" i="1"/>
  <c r="AZ39" i="1"/>
  <c r="AV39" i="1"/>
  <c r="AP39" i="1"/>
  <c r="BK39" i="1" s="1"/>
  <c r="Y39" i="1"/>
  <c r="Y135" i="1" s="1"/>
  <c r="G39" i="1"/>
  <c r="DH38" i="1"/>
  <c r="DG38" i="1"/>
  <c r="DE38" i="1"/>
  <c r="DC38" i="1"/>
  <c r="DA38" i="1"/>
  <c r="CZ38" i="1"/>
  <c r="CY38" i="1"/>
  <c r="CX38" i="1"/>
  <c r="CW38" i="1"/>
  <c r="CV38" i="1"/>
  <c r="CU38" i="1"/>
  <c r="CT38" i="1"/>
  <c r="CS38" i="1"/>
  <c r="CR38" i="1"/>
  <c r="CQ38" i="1"/>
  <c r="CN38" i="1"/>
  <c r="CI38" i="1"/>
  <c r="DD38" i="1" s="1"/>
  <c r="CG38" i="1"/>
  <c r="DB38" i="1" s="1"/>
  <c r="BQ38" i="1"/>
  <c r="BN38" i="1"/>
  <c r="BL38" i="1"/>
  <c r="BJ38" i="1"/>
  <c r="BI38" i="1"/>
  <c r="BH38" i="1"/>
  <c r="BG38" i="1"/>
  <c r="BF38" i="1"/>
  <c r="BE38" i="1"/>
  <c r="BD38" i="1"/>
  <c r="BC38" i="1"/>
  <c r="BB38" i="1"/>
  <c r="BA38" i="1"/>
  <c r="AZ38" i="1"/>
  <c r="AW38" i="1"/>
  <c r="AR38" i="1"/>
  <c r="BM38" i="1" s="1"/>
  <c r="AP38" i="1"/>
  <c r="BK38" i="1" s="1"/>
  <c r="Z38" i="1"/>
  <c r="DI37" i="1"/>
  <c r="DH37" i="1"/>
  <c r="DG37" i="1"/>
  <c r="DE37" i="1"/>
  <c r="DD37" i="1"/>
  <c r="DC37" i="1"/>
  <c r="DA37" i="1"/>
  <c r="CZ37" i="1"/>
  <c r="CY37" i="1"/>
  <c r="CX37" i="1"/>
  <c r="CW37" i="1"/>
  <c r="CV37" i="1"/>
  <c r="CU37" i="1"/>
  <c r="CT37" i="1"/>
  <c r="CS37" i="1"/>
  <c r="CR37" i="1"/>
  <c r="CQ37" i="1"/>
  <c r="CG37" i="1"/>
  <c r="BR37" i="1"/>
  <c r="BQ37" i="1"/>
  <c r="BN37" i="1"/>
  <c r="BM37" i="1"/>
  <c r="BL37" i="1"/>
  <c r="BJ37" i="1"/>
  <c r="BI37" i="1"/>
  <c r="BH37" i="1"/>
  <c r="BG37" i="1"/>
  <c r="BF37" i="1"/>
  <c r="BE37" i="1"/>
  <c r="BD37" i="1"/>
  <c r="BC37" i="1"/>
  <c r="BB37" i="1"/>
  <c r="BA37" i="1"/>
  <c r="AZ37" i="1"/>
  <c r="AP37" i="1"/>
  <c r="BK37" i="1" s="1"/>
  <c r="G37" i="1"/>
  <c r="DI36" i="1"/>
  <c r="DH36" i="1"/>
  <c r="DG36" i="1"/>
  <c r="DE36" i="1"/>
  <c r="DC36" i="1"/>
  <c r="DB36" i="1"/>
  <c r="DA36" i="1"/>
  <c r="CZ36" i="1"/>
  <c r="CY36" i="1"/>
  <c r="CX36" i="1"/>
  <c r="CW36" i="1"/>
  <c r="CV36" i="1"/>
  <c r="CU36" i="1"/>
  <c r="CT36" i="1"/>
  <c r="CS36" i="1"/>
  <c r="CR36" i="1"/>
  <c r="CQ36" i="1"/>
  <c r="CI36" i="1"/>
  <c r="DD36" i="1" s="1"/>
  <c r="BR36" i="1"/>
  <c r="BQ36" i="1"/>
  <c r="BP36" i="1"/>
  <c r="BN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R36" i="1"/>
  <c r="AC36" i="1" s="1"/>
  <c r="G36" i="1"/>
  <c r="DI35" i="1"/>
  <c r="DH35" i="1"/>
  <c r="DG35" i="1"/>
  <c r="DE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I35" i="1"/>
  <c r="BT35" i="1" s="1"/>
  <c r="BR35" i="1"/>
  <c r="BN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R35" i="1"/>
  <c r="AC35" i="1" s="1"/>
  <c r="U35" i="1"/>
  <c r="DI34" i="1"/>
  <c r="DH34" i="1"/>
  <c r="DG34" i="1"/>
  <c r="DE34" i="1"/>
  <c r="DC34" i="1"/>
  <c r="DB34" i="1"/>
  <c r="DA34" i="1"/>
  <c r="CZ34" i="1"/>
  <c r="CY34" i="1"/>
  <c r="CX34" i="1"/>
  <c r="CW34" i="1"/>
  <c r="CV34" i="1"/>
  <c r="CU34" i="1"/>
  <c r="CT34" i="1"/>
  <c r="CS34" i="1"/>
  <c r="CR34" i="1"/>
  <c r="CQ34" i="1"/>
  <c r="CI34" i="1"/>
  <c r="DD34" i="1" s="1"/>
  <c r="BN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W34" i="1"/>
  <c r="BR34" i="1" s="1"/>
  <c r="AR34" i="1"/>
  <c r="BM34" i="1" s="1"/>
  <c r="G34" i="1"/>
  <c r="DI33" i="1"/>
  <c r="DH33" i="1"/>
  <c r="DG33" i="1"/>
  <c r="DE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CQ33" i="1"/>
  <c r="CI33" i="1"/>
  <c r="DD33" i="1" s="1"/>
  <c r="BR33" i="1"/>
  <c r="BN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R33" i="1"/>
  <c r="BM33" i="1" s="1"/>
  <c r="G33" i="1"/>
  <c r="DI32" i="1"/>
  <c r="DH32" i="1"/>
  <c r="DG32" i="1"/>
  <c r="DE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CQ32" i="1"/>
  <c r="CI32" i="1"/>
  <c r="BR32" i="1"/>
  <c r="BN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T32" i="1"/>
  <c r="AR32" i="1"/>
  <c r="BM32" i="1" s="1"/>
  <c r="W32" i="1"/>
  <c r="W58" i="1" s="1"/>
  <c r="W130" i="1" s="1"/>
  <c r="DH31" i="1"/>
  <c r="DG31" i="1"/>
  <c r="DE31" i="1"/>
  <c r="DD31" i="1"/>
  <c r="DC31" i="1"/>
  <c r="DB31" i="1"/>
  <c r="DA31" i="1"/>
  <c r="CZ31" i="1"/>
  <c r="CY31" i="1"/>
  <c r="CX31" i="1"/>
  <c r="CW31" i="1"/>
  <c r="CV31" i="1"/>
  <c r="CU31" i="1"/>
  <c r="CT31" i="1"/>
  <c r="CS31" i="1"/>
  <c r="CR31" i="1"/>
  <c r="CQ31" i="1"/>
  <c r="CN31" i="1"/>
  <c r="BT31" i="1" s="1"/>
  <c r="BN31" i="1"/>
  <c r="BM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W31" i="1"/>
  <c r="AC31" i="1" s="1"/>
  <c r="Z31" i="1"/>
  <c r="G31" i="1" s="1"/>
  <c r="DH30" i="1"/>
  <c r="DG30" i="1"/>
  <c r="DE30" i="1"/>
  <c r="DD30" i="1"/>
  <c r="DC30" i="1"/>
  <c r="DB30" i="1"/>
  <c r="DA30" i="1"/>
  <c r="CZ30" i="1"/>
  <c r="CY30" i="1"/>
  <c r="CX30" i="1"/>
  <c r="CW30" i="1"/>
  <c r="CV30" i="1"/>
  <c r="CU30" i="1"/>
  <c r="CT30" i="1"/>
  <c r="CS30" i="1"/>
  <c r="CR30" i="1"/>
  <c r="CQ30" i="1"/>
  <c r="CN30" i="1"/>
  <c r="BN30" i="1"/>
  <c r="BM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W30" i="1"/>
  <c r="AC30" i="1" s="1"/>
  <c r="Z30" i="1"/>
  <c r="G30" i="1" s="1"/>
  <c r="DI29" i="1"/>
  <c r="DH29" i="1"/>
  <c r="DG29" i="1"/>
  <c r="DE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CQ29" i="1"/>
  <c r="CI29" i="1"/>
  <c r="BT29" i="1" s="1"/>
  <c r="BS29" i="1" s="1"/>
  <c r="CO29" i="1" s="1"/>
  <c r="BR29" i="1"/>
  <c r="BN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R29" i="1"/>
  <c r="BM29" i="1" s="1"/>
  <c r="G29" i="1"/>
  <c r="DI28" i="1"/>
  <c r="DH28" i="1"/>
  <c r="DG28" i="1"/>
  <c r="DE28" i="1"/>
  <c r="DC28" i="1"/>
  <c r="DB28" i="1"/>
  <c r="DA28" i="1"/>
  <c r="CZ28" i="1"/>
  <c r="CY28" i="1"/>
  <c r="CX28" i="1"/>
  <c r="CW28" i="1"/>
  <c r="CV28" i="1"/>
  <c r="CU28" i="1"/>
  <c r="CT28" i="1"/>
  <c r="CS28" i="1"/>
  <c r="CR28" i="1"/>
  <c r="CQ28" i="1"/>
  <c r="CI28" i="1"/>
  <c r="BT28" i="1" s="1"/>
  <c r="BR28" i="1"/>
  <c r="BN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R28" i="1"/>
  <c r="BM28" i="1" s="1"/>
  <c r="G28" i="1"/>
  <c r="DI27" i="1"/>
  <c r="DH27" i="1"/>
  <c r="DG27" i="1"/>
  <c r="DE27" i="1"/>
  <c r="DC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I27" i="1"/>
  <c r="BT27" i="1" s="1"/>
  <c r="BR27" i="1"/>
  <c r="BN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R27" i="1"/>
  <c r="AC27" i="1" s="1"/>
  <c r="U27" i="1"/>
  <c r="DD27" i="1" s="1"/>
  <c r="DI26" i="1"/>
  <c r="DH26" i="1"/>
  <c r="DG26" i="1"/>
  <c r="DE26" i="1"/>
  <c r="DC26" i="1"/>
  <c r="DB26" i="1"/>
  <c r="DA26" i="1"/>
  <c r="CZ26" i="1"/>
  <c r="CY26" i="1"/>
  <c r="CX26" i="1"/>
  <c r="CW26" i="1"/>
  <c r="CV26" i="1"/>
  <c r="CU26" i="1"/>
  <c r="CT26" i="1"/>
  <c r="CS26" i="1"/>
  <c r="CR26" i="1"/>
  <c r="CQ26" i="1"/>
  <c r="BT26" i="1"/>
  <c r="BR26" i="1"/>
  <c r="BN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C26" i="1"/>
  <c r="U26" i="1"/>
  <c r="G26" i="1" s="1"/>
  <c r="DI25" i="1"/>
  <c r="DH25" i="1"/>
  <c r="DG25" i="1"/>
  <c r="DE25" i="1"/>
  <c r="DC25" i="1"/>
  <c r="DB25" i="1"/>
  <c r="DA25" i="1"/>
  <c r="CZ25" i="1"/>
  <c r="CY25" i="1"/>
  <c r="CX25" i="1"/>
  <c r="CW25" i="1"/>
  <c r="CV25" i="1"/>
  <c r="CU25" i="1"/>
  <c r="CT25" i="1"/>
  <c r="CS25" i="1"/>
  <c r="CR25" i="1"/>
  <c r="CQ25" i="1"/>
  <c r="CI25" i="1"/>
  <c r="BT25" i="1" s="1"/>
  <c r="BS25" i="1" s="1"/>
  <c r="CO25" i="1" s="1"/>
  <c r="BR25" i="1"/>
  <c r="BN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R25" i="1"/>
  <c r="G25" i="1"/>
  <c r="DI24" i="1"/>
  <c r="DH24" i="1"/>
  <c r="DG24" i="1"/>
  <c r="DE24" i="1"/>
  <c r="DC24" i="1"/>
  <c r="DB24" i="1"/>
  <c r="DA24" i="1"/>
  <c r="CZ24" i="1"/>
  <c r="CY24" i="1"/>
  <c r="CX24" i="1"/>
  <c r="CW24" i="1"/>
  <c r="CV24" i="1"/>
  <c r="CU24" i="1"/>
  <c r="CT24" i="1"/>
  <c r="CS24" i="1"/>
  <c r="CR24" i="1"/>
  <c r="CQ24" i="1"/>
  <c r="CI24" i="1"/>
  <c r="BR24" i="1"/>
  <c r="BN24" i="1"/>
  <c r="BL24" i="1"/>
  <c r="BK24" i="1"/>
  <c r="BJ24" i="1"/>
  <c r="BI24" i="1"/>
  <c r="BH24" i="1"/>
  <c r="BG24" i="1"/>
  <c r="BF24" i="1"/>
  <c r="BE24" i="1"/>
  <c r="BD24" i="1"/>
  <c r="BC24" i="1"/>
  <c r="BB24" i="1"/>
  <c r="BA24" i="1"/>
  <c r="AZ24" i="1"/>
  <c r="AR24" i="1"/>
  <c r="AC24" i="1" s="1"/>
  <c r="G24" i="1"/>
  <c r="DI23" i="1"/>
  <c r="DH23" i="1"/>
  <c r="DG23" i="1"/>
  <c r="DE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CQ23" i="1"/>
  <c r="BW23" i="1"/>
  <c r="BR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B23" i="1"/>
  <c r="AZ23" i="1"/>
  <c r="AF23" i="1"/>
  <c r="AC23" i="1"/>
  <c r="I23" i="1"/>
  <c r="DI22" i="1"/>
  <c r="DH22" i="1"/>
  <c r="DG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Q22" i="1"/>
  <c r="BW22" i="1"/>
  <c r="CR22" i="1" s="1"/>
  <c r="BR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AZ22" i="1"/>
  <c r="AF22" i="1"/>
  <c r="AC22" i="1" s="1"/>
  <c r="AB22" i="1" s="1"/>
  <c r="AX22" i="1" s="1"/>
  <c r="G22" i="1"/>
  <c r="DI21" i="1"/>
  <c r="DH21" i="1"/>
  <c r="DG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Q21" i="1"/>
  <c r="BW21" i="1"/>
  <c r="CR21" i="1" s="1"/>
  <c r="BR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AZ21" i="1"/>
  <c r="AF21" i="1"/>
  <c r="AC21" i="1" s="1"/>
  <c r="G21" i="1"/>
  <c r="DF20" i="1"/>
  <c r="CM20" i="1"/>
  <c r="CL20" i="1"/>
  <c r="CJ20" i="1"/>
  <c r="CI20" i="1"/>
  <c r="CF20" i="1"/>
  <c r="CE20" i="1"/>
  <c r="CD20" i="1"/>
  <c r="CC20" i="1"/>
  <c r="CB20" i="1"/>
  <c r="CA20" i="1"/>
  <c r="CA130" i="1" s="1"/>
  <c r="BX20" i="1"/>
  <c r="BV20" i="1"/>
  <c r="BU20" i="1"/>
  <c r="AV20" i="1"/>
  <c r="AU20" i="1"/>
  <c r="AT20" i="1"/>
  <c r="AS20" i="1"/>
  <c r="AR20" i="1"/>
  <c r="AO20" i="1"/>
  <c r="AN20" i="1"/>
  <c r="AM20" i="1"/>
  <c r="AL20" i="1"/>
  <c r="AK20" i="1"/>
  <c r="AJ20" i="1"/>
  <c r="AG20" i="1"/>
  <c r="AE20" i="1"/>
  <c r="Y20" i="1"/>
  <c r="X20" i="1"/>
  <c r="V20" i="1"/>
  <c r="U20" i="1"/>
  <c r="T20" i="1"/>
  <c r="S20" i="1"/>
  <c r="R20" i="1"/>
  <c r="Q20" i="1"/>
  <c r="P20" i="1"/>
  <c r="O20" i="1"/>
  <c r="N20" i="1"/>
  <c r="M20" i="1"/>
  <c r="L20" i="1"/>
  <c r="J20" i="1"/>
  <c r="H20" i="1"/>
  <c r="H130" i="1" s="1"/>
  <c r="DI19" i="1"/>
  <c r="DH19" i="1"/>
  <c r="DG19" i="1"/>
  <c r="DE19" i="1"/>
  <c r="DD19" i="1"/>
  <c r="DC19" i="1"/>
  <c r="DB19" i="1"/>
  <c r="DA19" i="1"/>
  <c r="CZ19" i="1"/>
  <c r="CY19" i="1"/>
  <c r="CX19" i="1"/>
  <c r="CW19" i="1"/>
  <c r="CV19" i="1"/>
  <c r="CU19" i="1"/>
  <c r="CS19" i="1"/>
  <c r="CR19" i="1"/>
  <c r="CQ19" i="1"/>
  <c r="BY19" i="1"/>
  <c r="BT19" i="1" s="1"/>
  <c r="BQ19" i="1"/>
  <c r="BN19" i="1"/>
  <c r="BM19" i="1"/>
  <c r="BL19" i="1"/>
  <c r="BK19" i="1"/>
  <c r="BJ19" i="1"/>
  <c r="BI19" i="1"/>
  <c r="BH19" i="1"/>
  <c r="BG19" i="1"/>
  <c r="BF19" i="1"/>
  <c r="BE19" i="1"/>
  <c r="BD19" i="1"/>
  <c r="BB19" i="1"/>
  <c r="BA19" i="1"/>
  <c r="AZ19" i="1"/>
  <c r="AW19" i="1"/>
  <c r="AH19" i="1"/>
  <c r="BC19" i="1" s="1"/>
  <c r="G19" i="1"/>
  <c r="DI18" i="1"/>
  <c r="DH18" i="1"/>
  <c r="DG18" i="1"/>
  <c r="DE18" i="1"/>
  <c r="DD18" i="1"/>
  <c r="DC18" i="1"/>
  <c r="DB18" i="1"/>
  <c r="DA18" i="1"/>
  <c r="CZ18" i="1"/>
  <c r="CY18" i="1"/>
  <c r="CX18" i="1"/>
  <c r="CW18" i="1"/>
  <c r="CV18" i="1"/>
  <c r="CU18" i="1"/>
  <c r="CS18" i="1"/>
  <c r="CR18" i="1"/>
  <c r="CQ18" i="1"/>
  <c r="BY18" i="1"/>
  <c r="CT18" i="1" s="1"/>
  <c r="BR18" i="1"/>
  <c r="BQ18" i="1"/>
  <c r="BN18" i="1"/>
  <c r="BM18" i="1"/>
  <c r="BL18" i="1"/>
  <c r="BK18" i="1"/>
  <c r="BJ18" i="1"/>
  <c r="BI18" i="1"/>
  <c r="BH18" i="1"/>
  <c r="BG18" i="1"/>
  <c r="BF18" i="1"/>
  <c r="BE18" i="1"/>
  <c r="BD18" i="1"/>
  <c r="BB18" i="1"/>
  <c r="BA18" i="1"/>
  <c r="AZ18" i="1"/>
  <c r="AH18" i="1"/>
  <c r="AC18" i="1" s="1"/>
  <c r="G18" i="1"/>
  <c r="DI17" i="1"/>
  <c r="DH17" i="1"/>
  <c r="DG17" i="1"/>
  <c r="DE17" i="1"/>
  <c r="DD17" i="1"/>
  <c r="DC17" i="1"/>
  <c r="DB17" i="1"/>
  <c r="DA17" i="1"/>
  <c r="CZ17" i="1"/>
  <c r="CY17" i="1"/>
  <c r="CX17" i="1"/>
  <c r="CW17" i="1"/>
  <c r="CV17" i="1"/>
  <c r="CU17" i="1"/>
  <c r="CS17" i="1"/>
  <c r="CR17" i="1"/>
  <c r="CQ17" i="1"/>
  <c r="BY17" i="1"/>
  <c r="BT17" i="1" s="1"/>
  <c r="BR17" i="1"/>
  <c r="BQ17" i="1"/>
  <c r="BP17" i="1"/>
  <c r="BN17" i="1"/>
  <c r="BM17" i="1"/>
  <c r="BL17" i="1"/>
  <c r="BK17" i="1"/>
  <c r="BJ17" i="1"/>
  <c r="BI17" i="1"/>
  <c r="BH17" i="1"/>
  <c r="BG17" i="1"/>
  <c r="BF17" i="1"/>
  <c r="BE17" i="1"/>
  <c r="BD17" i="1"/>
  <c r="BB17" i="1"/>
  <c r="BA17" i="1"/>
  <c r="AZ17" i="1"/>
  <c r="AH17" i="1"/>
  <c r="AC17" i="1" s="1"/>
  <c r="K17" i="1"/>
  <c r="G17" i="1" s="1"/>
  <c r="DH16" i="1"/>
  <c r="DG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BT16" i="1"/>
  <c r="BQ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C16" i="1"/>
  <c r="AB16" i="1" s="1"/>
  <c r="AX16" i="1" s="1"/>
  <c r="Z16" i="1"/>
  <c r="G16" i="1" s="1"/>
  <c r="DI15" i="1"/>
  <c r="DH15" i="1"/>
  <c r="DG15" i="1"/>
  <c r="DE15" i="1"/>
  <c r="DD15" i="1"/>
  <c r="DC15" i="1"/>
  <c r="DA15" i="1"/>
  <c r="CZ15" i="1"/>
  <c r="CY15" i="1"/>
  <c r="CX15" i="1"/>
  <c r="CW15" i="1"/>
  <c r="CV15" i="1"/>
  <c r="CU15" i="1"/>
  <c r="CS15" i="1"/>
  <c r="CR15" i="1"/>
  <c r="CQ15" i="1"/>
  <c r="BY15" i="1"/>
  <c r="CG15" i="1" s="1"/>
  <c r="CG20" i="1" s="1"/>
  <c r="BR15" i="1"/>
  <c r="BQ15" i="1"/>
  <c r="BN15" i="1"/>
  <c r="BM15" i="1"/>
  <c r="BL15" i="1"/>
  <c r="BJ15" i="1"/>
  <c r="BI15" i="1"/>
  <c r="BH15" i="1"/>
  <c r="BG15" i="1"/>
  <c r="BF15" i="1"/>
  <c r="BE15" i="1"/>
  <c r="BD15" i="1"/>
  <c r="BB15" i="1"/>
  <c r="BA15" i="1"/>
  <c r="AZ15" i="1"/>
  <c r="AP15" i="1"/>
  <c r="AH15" i="1"/>
  <c r="G15" i="1"/>
  <c r="DI14" i="1"/>
  <c r="DH14" i="1"/>
  <c r="DG14" i="1"/>
  <c r="DE14" i="1"/>
  <c r="DD14" i="1"/>
  <c r="DC14" i="1"/>
  <c r="DB14" i="1"/>
  <c r="DA14" i="1"/>
  <c r="CZ14" i="1"/>
  <c r="CY14" i="1"/>
  <c r="CX14" i="1"/>
  <c r="CW14" i="1"/>
  <c r="CV14" i="1"/>
  <c r="CU14" i="1"/>
  <c r="CS14" i="1"/>
  <c r="CR14" i="1"/>
  <c r="CQ14" i="1"/>
  <c r="BY14" i="1"/>
  <c r="BT14" i="1" s="1"/>
  <c r="BR14" i="1"/>
  <c r="BQ14" i="1"/>
  <c r="BP14" i="1"/>
  <c r="BN14" i="1"/>
  <c r="BM14" i="1"/>
  <c r="BL14" i="1"/>
  <c r="BK14" i="1"/>
  <c r="BJ14" i="1"/>
  <c r="BI14" i="1"/>
  <c r="BH14" i="1"/>
  <c r="BG14" i="1"/>
  <c r="BF14" i="1"/>
  <c r="BE14" i="1"/>
  <c r="BD14" i="1"/>
  <c r="BB14" i="1"/>
  <c r="BA14" i="1"/>
  <c r="AZ14" i="1"/>
  <c r="AH14" i="1"/>
  <c r="AC14" i="1" s="1"/>
  <c r="G14" i="1"/>
  <c r="DH13" i="1"/>
  <c r="DG13" i="1"/>
  <c r="DE13" i="1"/>
  <c r="DD13" i="1"/>
  <c r="DB13" i="1"/>
  <c r="DA13" i="1"/>
  <c r="CZ13" i="1"/>
  <c r="CY13" i="1"/>
  <c r="CX13" i="1"/>
  <c r="CW13" i="1"/>
  <c r="CV13" i="1"/>
  <c r="CS13" i="1"/>
  <c r="CR13" i="1"/>
  <c r="CQ13" i="1"/>
  <c r="CN13" i="1"/>
  <c r="CH13" i="1"/>
  <c r="CH136" i="1" s="1"/>
  <c r="BZ13" i="1"/>
  <c r="BZ136" i="1" s="1"/>
  <c r="BY13" i="1"/>
  <c r="CT13" i="1" s="1"/>
  <c r="BQ13" i="1"/>
  <c r="BN13" i="1"/>
  <c r="BM13" i="1"/>
  <c r="BK13" i="1"/>
  <c r="BJ13" i="1"/>
  <c r="BI13" i="1"/>
  <c r="BH13" i="1"/>
  <c r="BG13" i="1"/>
  <c r="BF13" i="1"/>
  <c r="BE13" i="1"/>
  <c r="BC13" i="1"/>
  <c r="BB13" i="1"/>
  <c r="BA13" i="1"/>
  <c r="AZ13" i="1"/>
  <c r="AW13" i="1"/>
  <c r="AQ13" i="1"/>
  <c r="BL13" i="1" s="1"/>
  <c r="AI13" i="1"/>
  <c r="BD13" i="1" s="1"/>
  <c r="Z13" i="1"/>
  <c r="DI12" i="1"/>
  <c r="DH12" i="1"/>
  <c r="DG12" i="1"/>
  <c r="DE12" i="1"/>
  <c r="DD12" i="1"/>
  <c r="DC12" i="1"/>
  <c r="DB12" i="1"/>
  <c r="DA12" i="1"/>
  <c r="CZ12" i="1"/>
  <c r="CY12" i="1"/>
  <c r="CX12" i="1"/>
  <c r="CW12" i="1"/>
  <c r="CV12" i="1"/>
  <c r="CU12" i="1"/>
  <c r="CS12" i="1"/>
  <c r="CR12" i="1"/>
  <c r="CQ12" i="1"/>
  <c r="BY12" i="1"/>
  <c r="BT12" i="1" s="1"/>
  <c r="BS12" i="1" s="1"/>
  <c r="CO12" i="1" s="1"/>
  <c r="BR12" i="1"/>
  <c r="BQ12" i="1"/>
  <c r="BN12" i="1"/>
  <c r="BM12" i="1"/>
  <c r="BL12" i="1"/>
  <c r="BK12" i="1"/>
  <c r="BJ12" i="1"/>
  <c r="BI12" i="1"/>
  <c r="BH12" i="1"/>
  <c r="BG12" i="1"/>
  <c r="BF12" i="1"/>
  <c r="BE12" i="1"/>
  <c r="BD12" i="1"/>
  <c r="BB12" i="1"/>
  <c r="BA12" i="1"/>
  <c r="AZ12" i="1"/>
  <c r="AH12" i="1"/>
  <c r="AC12" i="1" s="1"/>
  <c r="G12" i="1"/>
  <c r="DI11" i="1"/>
  <c r="DH11" i="1"/>
  <c r="DG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Q11" i="1"/>
  <c r="BW11" i="1"/>
  <c r="CR11" i="1" s="1"/>
  <c r="BR11" i="1"/>
  <c r="BQ11" i="1"/>
  <c r="BN11" i="1"/>
  <c r="BM11" i="1"/>
  <c r="BL11" i="1"/>
  <c r="BK11" i="1"/>
  <c r="BJ11" i="1"/>
  <c r="BI11" i="1"/>
  <c r="BH11" i="1"/>
  <c r="BG11" i="1"/>
  <c r="BF11" i="1"/>
  <c r="BE11" i="1"/>
  <c r="BD11" i="1"/>
  <c r="BB11" i="1"/>
  <c r="BA11" i="1"/>
  <c r="AZ11" i="1"/>
  <c r="AH11" i="1"/>
  <c r="AC11" i="1" s="1"/>
  <c r="G11" i="1"/>
  <c r="DI10" i="1"/>
  <c r="DH10" i="1"/>
  <c r="DG10" i="1"/>
  <c r="DE10" i="1"/>
  <c r="DD10" i="1"/>
  <c r="DC10" i="1"/>
  <c r="DB10" i="1"/>
  <c r="DA10" i="1"/>
  <c r="CZ10" i="1"/>
  <c r="CY10" i="1"/>
  <c r="CX10" i="1"/>
  <c r="CW10" i="1"/>
  <c r="CV10" i="1"/>
  <c r="CU10" i="1"/>
  <c r="CS10" i="1"/>
  <c r="CR10" i="1"/>
  <c r="CQ10" i="1"/>
  <c r="BY10" i="1"/>
  <c r="CT10" i="1" s="1"/>
  <c r="BR10" i="1"/>
  <c r="BQ10" i="1"/>
  <c r="BN10" i="1"/>
  <c r="BM10" i="1"/>
  <c r="BL10" i="1"/>
  <c r="BK10" i="1"/>
  <c r="BJ10" i="1"/>
  <c r="BI10" i="1"/>
  <c r="BH10" i="1"/>
  <c r="BG10" i="1"/>
  <c r="BF10" i="1"/>
  <c r="BE10" i="1"/>
  <c r="BD10" i="1"/>
  <c r="BB10" i="1"/>
  <c r="BA10" i="1"/>
  <c r="AZ10" i="1"/>
  <c r="AH10" i="1"/>
  <c r="AC10" i="1" s="1"/>
  <c r="G10" i="1"/>
  <c r="DH9" i="1"/>
  <c r="DG9" i="1"/>
  <c r="DE9" i="1"/>
  <c r="DD9" i="1"/>
  <c r="DC9" i="1"/>
  <c r="DB9" i="1"/>
  <c r="DA9" i="1"/>
  <c r="CZ9" i="1"/>
  <c r="CY9" i="1"/>
  <c r="CX9" i="1"/>
  <c r="CW9" i="1"/>
  <c r="CV9" i="1"/>
  <c r="CU9" i="1"/>
  <c r="CS9" i="1"/>
  <c r="CQ9" i="1"/>
  <c r="CN9" i="1"/>
  <c r="BW9" i="1"/>
  <c r="BQ9" i="1"/>
  <c r="BN9" i="1"/>
  <c r="BM9" i="1"/>
  <c r="BL9" i="1"/>
  <c r="BK9" i="1"/>
  <c r="BJ9" i="1"/>
  <c r="BI9" i="1"/>
  <c r="BH9" i="1"/>
  <c r="BG9" i="1"/>
  <c r="BF9" i="1"/>
  <c r="BE9" i="1"/>
  <c r="BD9" i="1"/>
  <c r="BB9" i="1"/>
  <c r="AZ9" i="1"/>
  <c r="AW9" i="1"/>
  <c r="AW134" i="1" s="1"/>
  <c r="AH9" i="1"/>
  <c r="AF9" i="1"/>
  <c r="Z9" i="1"/>
  <c r="K9" i="1"/>
  <c r="I9" i="1"/>
  <c r="DI8" i="1"/>
  <c r="DH8" i="1"/>
  <c r="DG8" i="1"/>
  <c r="DE8" i="1"/>
  <c r="DD8" i="1"/>
  <c r="DC8" i="1"/>
  <c r="DB8" i="1"/>
  <c r="DA8" i="1"/>
  <c r="CZ8" i="1"/>
  <c r="CY8" i="1"/>
  <c r="CX8" i="1"/>
  <c r="CW8" i="1"/>
  <c r="CV8" i="1"/>
  <c r="CU8" i="1"/>
  <c r="CS8" i="1"/>
  <c r="CQ8" i="1"/>
  <c r="BW8" i="1"/>
  <c r="BR8" i="1"/>
  <c r="BQ8" i="1"/>
  <c r="BN8" i="1"/>
  <c r="BM8" i="1"/>
  <c r="BL8" i="1"/>
  <c r="BK8" i="1"/>
  <c r="BJ8" i="1"/>
  <c r="BI8" i="1"/>
  <c r="BH8" i="1"/>
  <c r="BG8" i="1"/>
  <c r="BF8" i="1"/>
  <c r="BE8" i="1"/>
  <c r="BD8" i="1"/>
  <c r="BB8" i="1"/>
  <c r="AZ8" i="1"/>
  <c r="AH8" i="1"/>
  <c r="AF8" i="1"/>
  <c r="K8" i="1"/>
  <c r="I8" i="1"/>
  <c r="DH7" i="1"/>
  <c r="DG7" i="1"/>
  <c r="DE7" i="1"/>
  <c r="DD7" i="1"/>
  <c r="DC7" i="1"/>
  <c r="DB7" i="1"/>
  <c r="DA7" i="1"/>
  <c r="CZ7" i="1"/>
  <c r="CY7" i="1"/>
  <c r="CX7" i="1"/>
  <c r="CW7" i="1"/>
  <c r="CV7" i="1"/>
  <c r="CU7" i="1"/>
  <c r="CS7" i="1"/>
  <c r="CQ7" i="1"/>
  <c r="CN7" i="1"/>
  <c r="BQ7" i="1"/>
  <c r="BN7" i="1"/>
  <c r="BM7" i="1"/>
  <c r="BL7" i="1"/>
  <c r="BK7" i="1"/>
  <c r="BJ7" i="1"/>
  <c r="BI7" i="1"/>
  <c r="BH7" i="1"/>
  <c r="BG7" i="1"/>
  <c r="BF7" i="1"/>
  <c r="BE7" i="1"/>
  <c r="BD7" i="1"/>
  <c r="BB7" i="1"/>
  <c r="AZ7" i="1"/>
  <c r="AW7" i="1"/>
  <c r="AC7" i="1" s="1"/>
  <c r="Z7" i="1"/>
  <c r="BR7" i="1" s="1"/>
  <c r="K7" i="1"/>
  <c r="BC7" i="1" s="1"/>
  <c r="I7" i="1"/>
  <c r="CR7" i="1" s="1"/>
  <c r="DI6" i="1"/>
  <c r="DH6" i="1"/>
  <c r="DG6" i="1"/>
  <c r="DE6" i="1"/>
  <c r="DD6" i="1"/>
  <c r="DC6" i="1"/>
  <c r="DB6" i="1"/>
  <c r="DA6" i="1"/>
  <c r="CZ6" i="1"/>
  <c r="CY6" i="1"/>
  <c r="CX6" i="1"/>
  <c r="CW6" i="1"/>
  <c r="CV6" i="1"/>
  <c r="CU6" i="1"/>
  <c r="CS6" i="1"/>
  <c r="CQ6" i="1"/>
  <c r="BY6" i="1"/>
  <c r="BR6" i="1"/>
  <c r="BQ6" i="1"/>
  <c r="BN6" i="1"/>
  <c r="BM6" i="1"/>
  <c r="BL6" i="1"/>
  <c r="BK6" i="1"/>
  <c r="BJ6" i="1"/>
  <c r="BI6" i="1"/>
  <c r="BH6" i="1"/>
  <c r="BG6" i="1"/>
  <c r="BF6" i="1"/>
  <c r="BE6" i="1"/>
  <c r="BD6" i="1"/>
  <c r="BB6" i="1"/>
  <c r="AZ6" i="1"/>
  <c r="AH6" i="1"/>
  <c r="AC6" i="1" s="1"/>
  <c r="K6" i="1"/>
  <c r="I6" i="1"/>
  <c r="BA6" i="1" s="1"/>
  <c r="DH5" i="1"/>
  <c r="DG5" i="1"/>
  <c r="DE5" i="1"/>
  <c r="DD5" i="1"/>
  <c r="DC5" i="1"/>
  <c r="DB5" i="1"/>
  <c r="DA5" i="1"/>
  <c r="CZ5" i="1"/>
  <c r="CY5" i="1"/>
  <c r="CX5" i="1"/>
  <c r="CW5" i="1"/>
  <c r="CV5" i="1"/>
  <c r="CU5" i="1"/>
  <c r="CS5" i="1"/>
  <c r="CQ5" i="1"/>
  <c r="CN5" i="1"/>
  <c r="BY5" i="1"/>
  <c r="BQ5" i="1"/>
  <c r="BN5" i="1"/>
  <c r="BM5" i="1"/>
  <c r="BL5" i="1"/>
  <c r="BK5" i="1"/>
  <c r="BJ5" i="1"/>
  <c r="BI5" i="1"/>
  <c r="BH5" i="1"/>
  <c r="BG5" i="1"/>
  <c r="BF5" i="1"/>
  <c r="BE5" i="1"/>
  <c r="BD5" i="1"/>
  <c r="BB5" i="1"/>
  <c r="AZ5" i="1"/>
  <c r="AW5" i="1"/>
  <c r="AH5" i="1"/>
  <c r="Z5" i="1"/>
  <c r="K5" i="1"/>
  <c r="I5" i="1"/>
  <c r="BA5" i="1" s="1"/>
  <c r="DI4" i="1"/>
  <c r="DH4" i="1"/>
  <c r="DG4" i="1"/>
  <c r="DE4" i="1"/>
  <c r="DD4" i="1"/>
  <c r="DC4" i="1"/>
  <c r="DB4" i="1"/>
  <c r="DA4" i="1"/>
  <c r="CZ4" i="1"/>
  <c r="CY4" i="1"/>
  <c r="CX4" i="1"/>
  <c r="CW4" i="1"/>
  <c r="CV4" i="1"/>
  <c r="CU4" i="1"/>
  <c r="CS4" i="1"/>
  <c r="CR4" i="1"/>
  <c r="CQ4" i="1"/>
  <c r="BY4" i="1"/>
  <c r="BT4" i="1" s="1"/>
  <c r="BR4" i="1"/>
  <c r="BQ4" i="1"/>
  <c r="BP4" i="1"/>
  <c r="BP20" i="1" s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C4" i="1"/>
  <c r="G4" i="1"/>
  <c r="AR3" i="1"/>
  <c r="BM3" i="1" s="1"/>
  <c r="CI3" i="1" s="1"/>
  <c r="DD3" i="1" s="1"/>
  <c r="BR47" i="1" l="1"/>
  <c r="BF91" i="1"/>
  <c r="AB47" i="1"/>
  <c r="AX47" i="1" s="1"/>
  <c r="AY69" i="1"/>
  <c r="CP80" i="1"/>
  <c r="AB84" i="1"/>
  <c r="AX84" i="1" s="1"/>
  <c r="AY99" i="1"/>
  <c r="O139" i="1"/>
  <c r="O141" i="1" s="1"/>
  <c r="G9" i="1"/>
  <c r="BA22" i="1"/>
  <c r="DI47" i="1"/>
  <c r="G59" i="1"/>
  <c r="BS60" i="1"/>
  <c r="CO60" i="1" s="1"/>
  <c r="CX91" i="1"/>
  <c r="BK108" i="1"/>
  <c r="H139" i="1"/>
  <c r="H141" i="1" s="1"/>
  <c r="H142" i="1" s="1"/>
  <c r="CP79" i="1"/>
  <c r="BN104" i="1"/>
  <c r="AY125" i="1"/>
  <c r="BP58" i="1"/>
  <c r="BS46" i="1"/>
  <c r="CO46" i="1" s="1"/>
  <c r="BR103" i="1"/>
  <c r="BT103" i="1"/>
  <c r="BS103" i="1" s="1"/>
  <c r="CO103" i="1" s="1"/>
  <c r="DD107" i="1"/>
  <c r="BD132" i="1"/>
  <c r="AB124" i="1"/>
  <c r="AX124" i="1" s="1"/>
  <c r="G109" i="1"/>
  <c r="BD20" i="1"/>
  <c r="AB117" i="1"/>
  <c r="AX117" i="1" s="1"/>
  <c r="AY124" i="1"/>
  <c r="BS87" i="1"/>
  <c r="CO87" i="1" s="1"/>
  <c r="BR96" i="1"/>
  <c r="DI103" i="1"/>
  <c r="CQ133" i="1"/>
  <c r="DC140" i="1"/>
  <c r="AB21" i="1"/>
  <c r="AX21" i="1" s="1"/>
  <c r="Z108" i="1"/>
  <c r="BS122" i="1"/>
  <c r="CO122" i="1" s="1"/>
  <c r="BO134" i="1"/>
  <c r="CX134" i="1"/>
  <c r="DG134" i="1"/>
  <c r="G32" i="1"/>
  <c r="AB86" i="1"/>
  <c r="AX86" i="1" s="1"/>
  <c r="G104" i="1"/>
  <c r="BG109" i="1"/>
  <c r="BG132" i="1" s="1"/>
  <c r="AL139" i="1"/>
  <c r="AL141" i="1" s="1"/>
  <c r="BT63" i="1"/>
  <c r="BA21" i="1"/>
  <c r="AC81" i="1"/>
  <c r="BT107" i="1"/>
  <c r="AC125" i="1"/>
  <c r="AB125" i="1" s="1"/>
  <c r="AX125" i="1" s="1"/>
  <c r="BC72" i="1"/>
  <c r="AY72" i="1" s="1"/>
  <c r="CP72" i="1"/>
  <c r="AY87" i="1"/>
  <c r="BC88" i="1"/>
  <c r="AY88" i="1" s="1"/>
  <c r="DI116" i="1"/>
  <c r="CP105" i="1"/>
  <c r="CP33" i="1"/>
  <c r="AC79" i="1"/>
  <c r="AC111" i="1"/>
  <c r="BT18" i="1"/>
  <c r="BT51" i="1"/>
  <c r="BS51" i="1" s="1"/>
  <c r="CO51" i="1" s="1"/>
  <c r="BT126" i="1"/>
  <c r="BS126" i="1" s="1"/>
  <c r="CO126" i="1" s="1"/>
  <c r="AC49" i="1"/>
  <c r="AB49" i="1" s="1"/>
  <c r="AX49" i="1" s="1"/>
  <c r="DB62" i="1"/>
  <c r="BM42" i="1"/>
  <c r="AY42" i="1" s="1"/>
  <c r="DI65" i="1"/>
  <c r="CP65" i="1" s="1"/>
  <c r="BA54" i="1"/>
  <c r="AY54" i="1" s="1"/>
  <c r="BT86" i="1"/>
  <c r="CM135" i="1"/>
  <c r="CM139" i="1" s="1"/>
  <c r="CM141" i="1" s="1"/>
  <c r="BT70" i="1"/>
  <c r="BS70" i="1" s="1"/>
  <c r="CO70" i="1" s="1"/>
  <c r="BN97" i="1"/>
  <c r="AY97" i="1" s="1"/>
  <c r="BP138" i="1"/>
  <c r="BP128" i="1"/>
  <c r="AM130" i="1"/>
  <c r="AM142" i="1" s="1"/>
  <c r="BE58" i="1"/>
  <c r="CP49" i="1"/>
  <c r="AY75" i="1"/>
  <c r="AY81" i="1"/>
  <c r="AC83" i="1"/>
  <c r="AB83" i="1" s="1"/>
  <c r="AX83" i="1" s="1"/>
  <c r="DI90" i="1"/>
  <c r="BJ108" i="1"/>
  <c r="CZ111" i="1"/>
  <c r="BB133" i="1"/>
  <c r="CP113" i="1"/>
  <c r="BJ133" i="1"/>
  <c r="BE136" i="1"/>
  <c r="BM136" i="1"/>
  <c r="K20" i="1"/>
  <c r="BD134" i="1"/>
  <c r="BL134" i="1"/>
  <c r="CU134" i="1"/>
  <c r="DC134" i="1"/>
  <c r="CT17" i="1"/>
  <c r="CP17" i="1" s="1"/>
  <c r="AB18" i="1"/>
  <c r="AX18" i="1" s="1"/>
  <c r="X130" i="1"/>
  <c r="BU130" i="1"/>
  <c r="AY33" i="1"/>
  <c r="BT33" i="1"/>
  <c r="BS33" i="1" s="1"/>
  <c r="CO33" i="1" s="1"/>
  <c r="G41" i="1"/>
  <c r="AC45" i="1"/>
  <c r="AB45" i="1" s="1"/>
  <c r="AX45" i="1" s="1"/>
  <c r="Y58" i="1"/>
  <c r="Y130" i="1" s="1"/>
  <c r="BT80" i="1"/>
  <c r="BS80" i="1" s="1"/>
  <c r="CO80" i="1" s="1"/>
  <c r="DI88" i="1"/>
  <c r="Z140" i="1"/>
  <c r="AC110" i="1"/>
  <c r="AB110" i="1" s="1"/>
  <c r="AX110" i="1" s="1"/>
  <c r="BT110" i="1"/>
  <c r="BS110" i="1" s="1"/>
  <c r="CO110" i="1" s="1"/>
  <c r="BC133" i="1"/>
  <c r="BL133" i="1"/>
  <c r="BT120" i="1"/>
  <c r="BS120" i="1" s="1"/>
  <c r="CO120" i="1" s="1"/>
  <c r="CG128" i="1"/>
  <c r="Q132" i="1"/>
  <c r="Q139" i="1" s="1"/>
  <c r="Q141" i="1" s="1"/>
  <c r="Z132" i="1"/>
  <c r="CB139" i="1"/>
  <c r="CB141" i="1" s="1"/>
  <c r="X139" i="1"/>
  <c r="X141" i="1" s="1"/>
  <c r="BG20" i="1"/>
  <c r="BQ20" i="1"/>
  <c r="BE134" i="1"/>
  <c r="BM134" i="1"/>
  <c r="Z134" i="1"/>
  <c r="BC17" i="1"/>
  <c r="AY17" i="1" s="1"/>
  <c r="BS18" i="1"/>
  <c r="CO18" i="1" s="1"/>
  <c r="AY29" i="1"/>
  <c r="DE58" i="1"/>
  <c r="DI57" i="1"/>
  <c r="CP57" i="1" s="1"/>
  <c r="BL140" i="1"/>
  <c r="CW108" i="1"/>
  <c r="CJ108" i="1"/>
  <c r="CJ130" i="1" s="1"/>
  <c r="CU133" i="1"/>
  <c r="DC133" i="1"/>
  <c r="CX133" i="1"/>
  <c r="DG133" i="1"/>
  <c r="CR114" i="1"/>
  <c r="CP114" i="1" s="1"/>
  <c r="BC126" i="1"/>
  <c r="AY126" i="1" s="1"/>
  <c r="CC139" i="1"/>
  <c r="CC141" i="1" s="1"/>
  <c r="BT5" i="1"/>
  <c r="DI7" i="1"/>
  <c r="G8" i="1"/>
  <c r="CW134" i="1"/>
  <c r="DE134" i="1"/>
  <c r="DI13" i="1"/>
  <c r="BT21" i="1"/>
  <c r="BS21" i="1" s="1"/>
  <c r="CO21" i="1" s="1"/>
  <c r="BT22" i="1"/>
  <c r="BS22" i="1" s="1"/>
  <c r="CO22" i="1" s="1"/>
  <c r="CP45" i="1"/>
  <c r="DD50" i="1"/>
  <c r="R58" i="1"/>
  <c r="AC64" i="1"/>
  <c r="BP91" i="1"/>
  <c r="AC70" i="1"/>
  <c r="AB70" i="1" s="1"/>
  <c r="AX70" i="1" s="1"/>
  <c r="AI91" i="1"/>
  <c r="DI96" i="1"/>
  <c r="CP96" i="1" s="1"/>
  <c r="BM98" i="1"/>
  <c r="BT102" i="1"/>
  <c r="AC105" i="1"/>
  <c r="AB105" i="1" s="1"/>
  <c r="AX105" i="1" s="1"/>
  <c r="BT106" i="1"/>
  <c r="BS106" i="1" s="1"/>
  <c r="CO106" i="1" s="1"/>
  <c r="DG108" i="1"/>
  <c r="G110" i="1"/>
  <c r="CY110" i="1"/>
  <c r="CY132" i="1" s="1"/>
  <c r="CV133" i="1"/>
  <c r="BD133" i="1"/>
  <c r="CP122" i="1"/>
  <c r="G127" i="1"/>
  <c r="P128" i="1"/>
  <c r="P130" i="1" s="1"/>
  <c r="AD139" i="1"/>
  <c r="AD141" i="1" s="1"/>
  <c r="AD142" i="1" s="1"/>
  <c r="BS17" i="1"/>
  <c r="CO17" i="1" s="1"/>
  <c r="AY44" i="1"/>
  <c r="BR60" i="1"/>
  <c r="AY60" i="1" s="1"/>
  <c r="AY84" i="1"/>
  <c r="CX108" i="1"/>
  <c r="AB126" i="1"/>
  <c r="AX126" i="1" s="1"/>
  <c r="CY20" i="1"/>
  <c r="CR5" i="1"/>
  <c r="DA20" i="1"/>
  <c r="AH134" i="1"/>
  <c r="AB10" i="1"/>
  <c r="AX10" i="1" s="1"/>
  <c r="T130" i="1"/>
  <c r="CC130" i="1"/>
  <c r="AY53" i="1"/>
  <c r="BQ91" i="1"/>
  <c r="DI66" i="1"/>
  <c r="CP66" i="1" s="1"/>
  <c r="CP75" i="1"/>
  <c r="CZ91" i="1"/>
  <c r="CP84" i="1"/>
  <c r="AB95" i="1"/>
  <c r="AX95" i="1" s="1"/>
  <c r="CR107" i="1"/>
  <c r="AB123" i="1"/>
  <c r="AX123" i="1" s="1"/>
  <c r="V139" i="1"/>
  <c r="CQ20" i="1"/>
  <c r="CZ20" i="1"/>
  <c r="BM46" i="1"/>
  <c r="AY46" i="1" s="1"/>
  <c r="BM47" i="1"/>
  <c r="AY47" i="1" s="1"/>
  <c r="BR52" i="1"/>
  <c r="AJ130" i="1"/>
  <c r="CP82" i="1"/>
  <c r="P139" i="1"/>
  <c r="P141" i="1" s="1"/>
  <c r="DA128" i="1"/>
  <c r="CT14" i="1"/>
  <c r="AK130" i="1"/>
  <c r="CV58" i="1"/>
  <c r="AC48" i="1"/>
  <c r="DI59" i="1"/>
  <c r="BR73" i="1"/>
  <c r="AY73" i="1" s="1"/>
  <c r="AB75" i="1"/>
  <c r="AX75" i="1" s="1"/>
  <c r="AB88" i="1"/>
  <c r="AX88" i="1" s="1"/>
  <c r="DB120" i="1"/>
  <c r="DB128" i="1" s="1"/>
  <c r="AJ139" i="1"/>
  <c r="AJ141" i="1" s="1"/>
  <c r="BT10" i="1"/>
  <c r="BS10" i="1" s="1"/>
  <c r="CO10" i="1" s="1"/>
  <c r="AB12" i="1"/>
  <c r="AX12" i="1" s="1"/>
  <c r="AL130" i="1"/>
  <c r="AB30" i="1"/>
  <c r="AX30" i="1" s="1"/>
  <c r="AC34" i="1"/>
  <c r="AB34" i="1" s="1"/>
  <c r="AX34" i="1" s="1"/>
  <c r="BQ39" i="1"/>
  <c r="AY39" i="1" s="1"/>
  <c r="CP40" i="1"/>
  <c r="AB43" i="1"/>
  <c r="AX43" i="1" s="1"/>
  <c r="BQ48" i="1"/>
  <c r="AY48" i="1" s="1"/>
  <c r="AC59" i="1"/>
  <c r="CV137" i="1"/>
  <c r="BH91" i="1"/>
  <c r="BS68" i="1"/>
  <c r="CO68" i="1" s="1"/>
  <c r="CP90" i="1"/>
  <c r="BT97" i="1"/>
  <c r="BS97" i="1" s="1"/>
  <c r="CO97" i="1" s="1"/>
  <c r="AC100" i="1"/>
  <c r="AB100" i="1" s="1"/>
  <c r="AX100" i="1" s="1"/>
  <c r="BT101" i="1"/>
  <c r="BS101" i="1" s="1"/>
  <c r="CO101" i="1" s="1"/>
  <c r="CP106" i="1"/>
  <c r="I108" i="1"/>
  <c r="BT111" i="1"/>
  <c r="CZ112" i="1"/>
  <c r="G113" i="1"/>
  <c r="BS113" i="1" s="1"/>
  <c r="CO113" i="1" s="1"/>
  <c r="G116" i="1"/>
  <c r="CT133" i="1"/>
  <c r="DI127" i="1"/>
  <c r="AB48" i="1"/>
  <c r="AX48" i="1" s="1"/>
  <c r="BC10" i="1"/>
  <c r="AY10" i="1" s="1"/>
  <c r="CT12" i="1"/>
  <c r="CP12" i="1" s="1"/>
  <c r="CF58" i="1"/>
  <c r="BI112" i="1"/>
  <c r="BI133" i="1" s="1"/>
  <c r="CT4" i="1"/>
  <c r="CP4" i="1" s="1"/>
  <c r="CU13" i="1"/>
  <c r="CU20" i="1" s="1"/>
  <c r="CP14" i="1"/>
  <c r="AB17" i="1"/>
  <c r="AX17" i="1" s="1"/>
  <c r="CP18" i="1"/>
  <c r="AY21" i="1"/>
  <c r="AY22" i="1"/>
  <c r="AC28" i="1"/>
  <c r="AB28" i="1" s="1"/>
  <c r="AX28" i="1" s="1"/>
  <c r="AB31" i="1"/>
  <c r="AX31" i="1" s="1"/>
  <c r="AC33" i="1"/>
  <c r="AB33" i="1" s="1"/>
  <c r="AX33" i="1" s="1"/>
  <c r="AC37" i="1"/>
  <c r="AB37" i="1" s="1"/>
  <c r="AX37" i="1" s="1"/>
  <c r="DH39" i="1"/>
  <c r="CP39" i="1" s="1"/>
  <c r="BT44" i="1"/>
  <c r="BS44" i="1" s="1"/>
  <c r="CO44" i="1" s="1"/>
  <c r="AY45" i="1"/>
  <c r="AC52" i="1"/>
  <c r="AB52" i="1" s="1"/>
  <c r="AX52" i="1" s="1"/>
  <c r="AB76" i="1"/>
  <c r="AX76" i="1" s="1"/>
  <c r="CN91" i="1"/>
  <c r="BS96" i="1"/>
  <c r="CO96" i="1" s="1"/>
  <c r="AC103" i="1"/>
  <c r="AB103" i="1" s="1"/>
  <c r="AX103" i="1" s="1"/>
  <c r="CI108" i="1"/>
  <c r="AC5" i="1"/>
  <c r="BC6" i="1"/>
  <c r="AY6" i="1" s="1"/>
  <c r="CT15" i="1"/>
  <c r="AV58" i="1"/>
  <c r="AV130" i="1" s="1"/>
  <c r="CP53" i="1"/>
  <c r="AC66" i="1"/>
  <c r="AB66" i="1" s="1"/>
  <c r="AX66" i="1" s="1"/>
  <c r="AY96" i="1"/>
  <c r="AC102" i="1"/>
  <c r="BR117" i="1"/>
  <c r="AY117" i="1" s="1"/>
  <c r="BC123" i="1"/>
  <c r="AY123" i="1" s="1"/>
  <c r="BY127" i="1"/>
  <c r="BT127" i="1" s="1"/>
  <c r="BT7" i="1"/>
  <c r="BT11" i="1"/>
  <c r="BS11" i="1" s="1"/>
  <c r="CO11" i="1" s="1"/>
  <c r="AC29" i="1"/>
  <c r="AB29" i="1" s="1"/>
  <c r="AX29" i="1" s="1"/>
  <c r="BR30" i="1"/>
  <c r="AY30" i="1" s="1"/>
  <c r="BT36" i="1"/>
  <c r="AB46" i="1"/>
  <c r="AX46" i="1" s="1"/>
  <c r="CM58" i="1"/>
  <c r="CM130" i="1" s="1"/>
  <c r="DI60" i="1"/>
  <c r="CP60" i="1" s="1"/>
  <c r="AC73" i="1"/>
  <c r="AB73" i="1" s="1"/>
  <c r="AX73" i="1" s="1"/>
  <c r="CT87" i="1"/>
  <c r="CP87" i="1" s="1"/>
  <c r="BT98" i="1"/>
  <c r="BI111" i="1"/>
  <c r="BC127" i="1"/>
  <c r="AY127" i="1" s="1"/>
  <c r="CJ139" i="1"/>
  <c r="BC11" i="1"/>
  <c r="AY11" i="1" s="1"/>
  <c r="AY83" i="1"/>
  <c r="CT88" i="1"/>
  <c r="CP88" i="1" s="1"/>
  <c r="CZ110" i="1"/>
  <c r="CP34" i="1"/>
  <c r="BM35" i="1"/>
  <c r="AY35" i="1" s="1"/>
  <c r="DI38" i="1"/>
  <c r="CP38" i="1" s="1"/>
  <c r="BT39" i="1"/>
  <c r="BS39" i="1" s="1"/>
  <c r="CO39" i="1" s="1"/>
  <c r="AC50" i="1"/>
  <c r="BR68" i="1"/>
  <c r="AY68" i="1" s="1"/>
  <c r="BC76" i="1"/>
  <c r="AY76" i="1" s="1"/>
  <c r="CP100" i="1"/>
  <c r="AC101" i="1"/>
  <c r="AB101" i="1" s="1"/>
  <c r="AX101" i="1" s="1"/>
  <c r="AC107" i="1"/>
  <c r="AR108" i="1"/>
  <c r="BR110" i="1"/>
  <c r="CP7" i="1"/>
  <c r="BN106" i="1"/>
  <c r="AY106" i="1" s="1"/>
  <c r="AC106" i="1"/>
  <c r="BA7" i="1"/>
  <c r="BA136" i="1" s="1"/>
  <c r="AC8" i="1"/>
  <c r="CR9" i="1"/>
  <c r="BA9" i="1"/>
  <c r="AC19" i="1"/>
  <c r="BR19" i="1"/>
  <c r="AY19" i="1" s="1"/>
  <c r="BE20" i="1"/>
  <c r="AB24" i="1"/>
  <c r="AX24" i="1" s="1"/>
  <c r="DI31" i="1"/>
  <c r="CP31" i="1" s="1"/>
  <c r="BR31" i="1"/>
  <c r="AY31" i="1" s="1"/>
  <c r="AB51" i="1"/>
  <c r="AX51" i="1" s="1"/>
  <c r="AB53" i="1"/>
  <c r="AX53" i="1" s="1"/>
  <c r="BI91" i="1"/>
  <c r="BS62" i="1"/>
  <c r="CO62" i="1" s="1"/>
  <c r="CW136" i="1"/>
  <c r="CW20" i="1"/>
  <c r="DE136" i="1"/>
  <c r="DE20" i="1"/>
  <c r="CS20" i="1"/>
  <c r="G7" i="1"/>
  <c r="AF134" i="1"/>
  <c r="BA8" i="1"/>
  <c r="AF20" i="1"/>
  <c r="CV134" i="1"/>
  <c r="DD134" i="1"/>
  <c r="CP10" i="1"/>
  <c r="BS14" i="1"/>
  <c r="CO14" i="1" s="1"/>
  <c r="CG136" i="1"/>
  <c r="DB15" i="1"/>
  <c r="BT15" i="1"/>
  <c r="BS16" i="1"/>
  <c r="CO16" i="1" s="1"/>
  <c r="BZ20" i="1"/>
  <c r="CH20" i="1"/>
  <c r="CP21" i="1"/>
  <c r="CZ135" i="1"/>
  <c r="CZ58" i="1"/>
  <c r="AC39" i="1"/>
  <c r="BR51" i="1"/>
  <c r="AY51" i="1" s="1"/>
  <c r="CP55" i="1"/>
  <c r="AP137" i="1"/>
  <c r="AC62" i="1"/>
  <c r="AP91" i="1"/>
  <c r="BK62" i="1"/>
  <c r="AY62" i="1" s="1"/>
  <c r="BZ137" i="1"/>
  <c r="BZ139" i="1" s="1"/>
  <c r="BZ141" i="1" s="1"/>
  <c r="BZ91" i="1"/>
  <c r="BT59" i="1"/>
  <c r="AB4" i="1"/>
  <c r="AX4" i="1" s="1"/>
  <c r="AI136" i="1"/>
  <c r="AC13" i="1"/>
  <c r="AI20" i="1"/>
  <c r="CS135" i="1"/>
  <c r="CS58" i="1"/>
  <c r="BF136" i="1"/>
  <c r="BF20" i="1"/>
  <c r="BN135" i="1"/>
  <c r="BN20" i="1"/>
  <c r="CQ136" i="1"/>
  <c r="CY136" i="1"/>
  <c r="DH136" i="1"/>
  <c r="DH20" i="1"/>
  <c r="BW134" i="1"/>
  <c r="BW20" i="1"/>
  <c r="CP11" i="1"/>
  <c r="AQ136" i="1"/>
  <c r="AQ20" i="1"/>
  <c r="BS19" i="1"/>
  <c r="CO19" i="1" s="1"/>
  <c r="BF135" i="1"/>
  <c r="BF58" i="1"/>
  <c r="BN58" i="1"/>
  <c r="CT135" i="1"/>
  <c r="CT58" i="1"/>
  <c r="BS26" i="1"/>
  <c r="CO26" i="1" s="1"/>
  <c r="AB26" i="1"/>
  <c r="AX26" i="1" s="1"/>
  <c r="BT54" i="1"/>
  <c r="CR54" i="1"/>
  <c r="CP54" i="1" s="1"/>
  <c r="AZ58" i="1"/>
  <c r="AB60" i="1"/>
  <c r="AX60" i="1" s="1"/>
  <c r="AY4" i="1"/>
  <c r="BG136" i="1"/>
  <c r="BP136" i="1"/>
  <c r="BY8" i="1"/>
  <c r="CT8" i="1" s="1"/>
  <c r="AC9" i="1"/>
  <c r="BG135" i="1"/>
  <c r="BG58" i="1"/>
  <c r="U135" i="1"/>
  <c r="U58" i="1"/>
  <c r="BM26" i="1"/>
  <c r="AY26" i="1" s="1"/>
  <c r="DD26" i="1"/>
  <c r="CP26" i="1" s="1"/>
  <c r="AB36" i="1"/>
  <c r="AX36" i="1" s="1"/>
  <c r="BS36" i="1"/>
  <c r="CO36" i="1" s="1"/>
  <c r="DD91" i="1"/>
  <c r="G71" i="1"/>
  <c r="BC71" i="1"/>
  <c r="AY71" i="1" s="1"/>
  <c r="K91" i="1"/>
  <c r="BC78" i="1"/>
  <c r="AY78" i="1" s="1"/>
  <c r="AC78" i="1"/>
  <c r="BS79" i="1"/>
  <c r="CO79" i="1" s="1"/>
  <c r="BH20" i="1"/>
  <c r="I136" i="1"/>
  <c r="I20" i="1"/>
  <c r="G5" i="1"/>
  <c r="G136" i="1" s="1"/>
  <c r="AB7" i="1"/>
  <c r="AX7" i="1" s="1"/>
  <c r="CT7" i="1"/>
  <c r="BC8" i="1"/>
  <c r="BK134" i="1"/>
  <c r="BT13" i="1"/>
  <c r="DC13" i="1"/>
  <c r="DC20" i="1" s="1"/>
  <c r="AZ135" i="1"/>
  <c r="BH135" i="1"/>
  <c r="BH58" i="1"/>
  <c r="CP22" i="1"/>
  <c r="BT23" i="1"/>
  <c r="BW58" i="1"/>
  <c r="CR23" i="1"/>
  <c r="CP23" i="1" s="1"/>
  <c r="AY34" i="1"/>
  <c r="CU59" i="1"/>
  <c r="DC137" i="1"/>
  <c r="DC91" i="1"/>
  <c r="BG91" i="1"/>
  <c r="BD140" i="1"/>
  <c r="BD108" i="1"/>
  <c r="BT125" i="1"/>
  <c r="CT125" i="1"/>
  <c r="Z136" i="1"/>
  <c r="Z20" i="1"/>
  <c r="DI5" i="1"/>
  <c r="CN134" i="1"/>
  <c r="DI9" i="1"/>
  <c r="AP20" i="1"/>
  <c r="AP136" i="1"/>
  <c r="BK15" i="1"/>
  <c r="BK136" i="1" s="1"/>
  <c r="CG135" i="1"/>
  <c r="BT37" i="1"/>
  <c r="DB37" i="1"/>
  <c r="DB135" i="1" s="1"/>
  <c r="CG58" i="1"/>
  <c r="BS66" i="1"/>
  <c r="CO66" i="1" s="1"/>
  <c r="CX136" i="1"/>
  <c r="CX20" i="1"/>
  <c r="DG136" i="1"/>
  <c r="DG20" i="1"/>
  <c r="BR5" i="1"/>
  <c r="BM20" i="1"/>
  <c r="DA135" i="1"/>
  <c r="DA58" i="1"/>
  <c r="K136" i="1"/>
  <c r="BC5" i="1"/>
  <c r="CT5" i="1"/>
  <c r="BT6" i="1"/>
  <c r="CT6" i="1"/>
  <c r="G134" i="1"/>
  <c r="BY9" i="1"/>
  <c r="BT9" i="1" s="1"/>
  <c r="AB11" i="1"/>
  <c r="AX11" i="1" s="1"/>
  <c r="AB14" i="1"/>
  <c r="AX14" i="1" s="1"/>
  <c r="BC15" i="1"/>
  <c r="AC15" i="1"/>
  <c r="BR16" i="1"/>
  <c r="AY16" i="1" s="1"/>
  <c r="DI16" i="1"/>
  <c r="CP16" i="1" s="1"/>
  <c r="AW20" i="1"/>
  <c r="AR58" i="1"/>
  <c r="AR130" i="1" s="1"/>
  <c r="BM25" i="1"/>
  <c r="AY25" i="1" s="1"/>
  <c r="AC25" i="1"/>
  <c r="BT32" i="1"/>
  <c r="DD32" i="1"/>
  <c r="AW58" i="1"/>
  <c r="BS40" i="1"/>
  <c r="CO40" i="1" s="1"/>
  <c r="V140" i="1"/>
  <c r="BN93" i="1"/>
  <c r="V108" i="1"/>
  <c r="V130" i="1" s="1"/>
  <c r="DE93" i="1"/>
  <c r="CP93" i="1" s="1"/>
  <c r="G93" i="1"/>
  <c r="BS93" i="1" s="1"/>
  <c r="CO93" i="1" s="1"/>
  <c r="Z133" i="1"/>
  <c r="DI112" i="1"/>
  <c r="Z128" i="1"/>
  <c r="G112" i="1"/>
  <c r="BR112" i="1"/>
  <c r="CS136" i="1"/>
  <c r="BS90" i="1"/>
  <c r="CO90" i="1" s="1"/>
  <c r="CT108" i="1"/>
  <c r="AE140" i="1"/>
  <c r="AZ104" i="1"/>
  <c r="AZ140" i="1" s="1"/>
  <c r="AC104" i="1"/>
  <c r="AE130" i="1"/>
  <c r="AZ136" i="1"/>
  <c r="BQ136" i="1"/>
  <c r="BN134" i="1"/>
  <c r="DC135" i="1"/>
  <c r="AY55" i="1"/>
  <c r="BT77" i="1"/>
  <c r="CT77" i="1"/>
  <c r="CP77" i="1" s="1"/>
  <c r="BI136" i="1"/>
  <c r="DA136" i="1"/>
  <c r="CR6" i="1"/>
  <c r="BG134" i="1"/>
  <c r="BQ134" i="1"/>
  <c r="CQ134" i="1"/>
  <c r="CY134" i="1"/>
  <c r="DH134" i="1"/>
  <c r="BR9" i="1"/>
  <c r="BR134" i="1" s="1"/>
  <c r="BC12" i="1"/>
  <c r="AY12" i="1" s="1"/>
  <c r="G13" i="1"/>
  <c r="BC14" i="1"/>
  <c r="AY14" i="1" s="1"/>
  <c r="BC18" i="1"/>
  <c r="AY18" i="1" s="1"/>
  <c r="CT19" i="1"/>
  <c r="CP19" i="1" s="1"/>
  <c r="AZ20" i="1"/>
  <c r="BI20" i="1"/>
  <c r="CB130" i="1"/>
  <c r="I58" i="1"/>
  <c r="BT30" i="1"/>
  <c r="CP36" i="1"/>
  <c r="DD42" i="1"/>
  <c r="CP42" i="1" s="1"/>
  <c r="CP44" i="1"/>
  <c r="CP47" i="1"/>
  <c r="G57" i="1"/>
  <c r="BR57" i="1"/>
  <c r="AY57" i="1" s="1"/>
  <c r="BB91" i="1"/>
  <c r="BB137" i="1"/>
  <c r="CX137" i="1"/>
  <c r="DG137" i="1"/>
  <c r="DG91" i="1"/>
  <c r="CP63" i="1"/>
  <c r="BC64" i="1"/>
  <c r="AY64" i="1" s="1"/>
  <c r="G64" i="1"/>
  <c r="AY70" i="1"/>
  <c r="BT72" i="1"/>
  <c r="CP78" i="1"/>
  <c r="AY82" i="1"/>
  <c r="BK82" i="1"/>
  <c r="CP85" i="1"/>
  <c r="CP86" i="1"/>
  <c r="BC89" i="1"/>
  <c r="AY89" i="1" s="1"/>
  <c r="AC89" i="1"/>
  <c r="AC98" i="1"/>
  <c r="BN98" i="1"/>
  <c r="AH140" i="1"/>
  <c r="AH108" i="1"/>
  <c r="BC104" i="1"/>
  <c r="BC108" i="1" s="1"/>
  <c r="AS108" i="1"/>
  <c r="AS130" i="1" s="1"/>
  <c r="BE132" i="1"/>
  <c r="BE128" i="1"/>
  <c r="BN137" i="1"/>
  <c r="BN132" i="1"/>
  <c r="DE128" i="1"/>
  <c r="AC116" i="1"/>
  <c r="BR116" i="1"/>
  <c r="AY116" i="1" s="1"/>
  <c r="BT117" i="1"/>
  <c r="DI117" i="1"/>
  <c r="CP117" i="1" s="1"/>
  <c r="CH138" i="1"/>
  <c r="CH128" i="1"/>
  <c r="BT121" i="1"/>
  <c r="BI135" i="1"/>
  <c r="BI58" i="1"/>
  <c r="BJ137" i="1"/>
  <c r="BJ91" i="1"/>
  <c r="DE137" i="1"/>
  <c r="DE91" i="1"/>
  <c r="BB136" i="1"/>
  <c r="BJ136" i="1"/>
  <c r="BS4" i="1"/>
  <c r="CO4" i="1" s="1"/>
  <c r="AH136" i="1"/>
  <c r="AH20" i="1"/>
  <c r="CN136" i="1"/>
  <c r="CN20" i="1"/>
  <c r="G6" i="1"/>
  <c r="I134" i="1"/>
  <c r="AZ134" i="1"/>
  <c r="BH134" i="1"/>
  <c r="CR8" i="1"/>
  <c r="CZ134" i="1"/>
  <c r="BR13" i="1"/>
  <c r="AY13" i="1" s="1"/>
  <c r="BJ20" i="1"/>
  <c r="BC135" i="1"/>
  <c r="BC58" i="1"/>
  <c r="BK135" i="1"/>
  <c r="BK58" i="1"/>
  <c r="CW135" i="1"/>
  <c r="CW58" i="1"/>
  <c r="DE135" i="1"/>
  <c r="BM27" i="1"/>
  <c r="AY27" i="1" s="1"/>
  <c r="G27" i="1"/>
  <c r="BS28" i="1"/>
  <c r="CO28" i="1" s="1"/>
  <c r="DD28" i="1"/>
  <c r="CP28" i="1" s="1"/>
  <c r="BS31" i="1"/>
  <c r="CO31" i="1" s="1"/>
  <c r="AC41" i="1"/>
  <c r="G42" i="1"/>
  <c r="BT48" i="1"/>
  <c r="CP51" i="1"/>
  <c r="AY52" i="1"/>
  <c r="AB54" i="1"/>
  <c r="AX54" i="1" s="1"/>
  <c r="AO58" i="1"/>
  <c r="BA91" i="1"/>
  <c r="BT61" i="1"/>
  <c r="R137" i="1"/>
  <c r="R139" i="1" s="1"/>
  <c r="R141" i="1" s="1"/>
  <c r="R91" i="1"/>
  <c r="R130" i="1" s="1"/>
  <c r="DA64" i="1"/>
  <c r="G65" i="1"/>
  <c r="BR65" i="1"/>
  <c r="AY65" i="1" s="1"/>
  <c r="CP71" i="1"/>
  <c r="G82" i="1"/>
  <c r="AY85" i="1"/>
  <c r="AC90" i="1"/>
  <c r="BR90" i="1"/>
  <c r="AY90" i="1" s="1"/>
  <c r="BI140" i="1"/>
  <c r="BI108" i="1"/>
  <c r="BB108" i="1"/>
  <c r="BF132" i="1"/>
  <c r="BF128" i="1"/>
  <c r="BQ128" i="1"/>
  <c r="BQ132" i="1"/>
  <c r="AG128" i="1"/>
  <c r="AG130" i="1" s="1"/>
  <c r="AG132" i="1"/>
  <c r="BB110" i="1"/>
  <c r="BR115" i="1"/>
  <c r="G115" i="1"/>
  <c r="G35" i="1"/>
  <c r="DD35" i="1"/>
  <c r="CP35" i="1" s="1"/>
  <c r="CW137" i="1"/>
  <c r="CW91" i="1"/>
  <c r="AW136" i="1"/>
  <c r="K134" i="1"/>
  <c r="BI134" i="1"/>
  <c r="CS134" i="1"/>
  <c r="DA134" i="1"/>
  <c r="BB20" i="1"/>
  <c r="CD130" i="1"/>
  <c r="BL135" i="1"/>
  <c r="BL58" i="1"/>
  <c r="CX135" i="1"/>
  <c r="CX58" i="1"/>
  <c r="DG135" i="1"/>
  <c r="DG58" i="1"/>
  <c r="CI135" i="1"/>
  <c r="CI139" i="1" s="1"/>
  <c r="CI141" i="1" s="1"/>
  <c r="CI58" i="1"/>
  <c r="CI130" i="1" s="1"/>
  <c r="BT24" i="1"/>
  <c r="DD24" i="1"/>
  <c r="CP24" i="1" s="1"/>
  <c r="AY28" i="1"/>
  <c r="AT135" i="1"/>
  <c r="AT139" i="1" s="1"/>
  <c r="AT141" i="1" s="1"/>
  <c r="AT58" i="1"/>
  <c r="G38" i="1"/>
  <c r="BR38" i="1"/>
  <c r="AY38" i="1" s="1"/>
  <c r="AY40" i="1"/>
  <c r="CP48" i="1"/>
  <c r="CR50" i="1"/>
  <c r="G50" i="1"/>
  <c r="BA50" i="1"/>
  <c r="CR52" i="1"/>
  <c r="CR91" i="1"/>
  <c r="CP62" i="1"/>
  <c r="DI67" i="1"/>
  <c r="CP67" i="1" s="1"/>
  <c r="G67" i="1"/>
  <c r="BR67" i="1"/>
  <c r="AY67" i="1" s="1"/>
  <c r="AB79" i="1"/>
  <c r="AX79" i="1" s="1"/>
  <c r="AB81" i="1"/>
  <c r="AX81" i="1" s="1"/>
  <c r="DB132" i="1"/>
  <c r="AN128" i="1"/>
  <c r="AN130" i="1" s="1"/>
  <c r="BI110" i="1"/>
  <c r="AN132" i="1"/>
  <c r="AN139" i="1" s="1"/>
  <c r="AN141" i="1" s="1"/>
  <c r="BS95" i="1"/>
  <c r="CO95" i="1" s="1"/>
  <c r="BH136" i="1"/>
  <c r="CZ136" i="1"/>
  <c r="BF134" i="1"/>
  <c r="DD25" i="1"/>
  <c r="BM43" i="1"/>
  <c r="AY43" i="1" s="1"/>
  <c r="DD43" i="1"/>
  <c r="CP43" i="1" s="1"/>
  <c r="AB97" i="1"/>
  <c r="AX97" i="1" s="1"/>
  <c r="BV140" i="1"/>
  <c r="BT104" i="1"/>
  <c r="BV108" i="1"/>
  <c r="BV130" i="1" s="1"/>
  <c r="CQ104" i="1"/>
  <c r="BD136" i="1"/>
  <c r="BL136" i="1"/>
  <c r="BY136" i="1"/>
  <c r="CV136" i="1"/>
  <c r="CV20" i="1"/>
  <c r="DD136" i="1"/>
  <c r="DD20" i="1"/>
  <c r="BB134" i="1"/>
  <c r="BJ134" i="1"/>
  <c r="DB134" i="1"/>
  <c r="BC9" i="1"/>
  <c r="AT130" i="1"/>
  <c r="BL20" i="1"/>
  <c r="AF135" i="1"/>
  <c r="AF58" i="1"/>
  <c r="BE135" i="1"/>
  <c r="CQ135" i="1"/>
  <c r="CQ58" i="1"/>
  <c r="CY135" i="1"/>
  <c r="CY58" i="1"/>
  <c r="CP27" i="1"/>
  <c r="Z58" i="1"/>
  <c r="CP46" i="1"/>
  <c r="BM50" i="1"/>
  <c r="CN52" i="1"/>
  <c r="DI52" i="1" s="1"/>
  <c r="DC58" i="1"/>
  <c r="BL91" i="1"/>
  <c r="CP69" i="1"/>
  <c r="BS74" i="1"/>
  <c r="CO74" i="1" s="1"/>
  <c r="BC80" i="1"/>
  <c r="AC80" i="1"/>
  <c r="BS85" i="1"/>
  <c r="CO85" i="1" s="1"/>
  <c r="CT89" i="1"/>
  <c r="CP89" i="1" s="1"/>
  <c r="BT89" i="1"/>
  <c r="CR108" i="1"/>
  <c r="CZ108" i="1"/>
  <c r="DI102" i="1"/>
  <c r="CP102" i="1" s="1"/>
  <c r="G102" i="1"/>
  <c r="BR102" i="1"/>
  <c r="AF128" i="1"/>
  <c r="AF132" i="1"/>
  <c r="AC109" i="1"/>
  <c r="BE137" i="1"/>
  <c r="BE91" i="1"/>
  <c r="BM137" i="1"/>
  <c r="BM91" i="1"/>
  <c r="CQ137" i="1"/>
  <c r="CY137" i="1"/>
  <c r="CY91" i="1"/>
  <c r="DH137" i="1"/>
  <c r="CP61" i="1"/>
  <c r="K137" i="1"/>
  <c r="G63" i="1"/>
  <c r="BC63" i="1"/>
  <c r="AB72" i="1"/>
  <c r="AX72" i="1" s="1"/>
  <c r="DI73" i="1"/>
  <c r="BT73" i="1"/>
  <c r="BT81" i="1"/>
  <c r="CT81" i="1"/>
  <c r="CP81" i="1" s="1"/>
  <c r="AB93" i="1"/>
  <c r="AX93" i="1" s="1"/>
  <c r="CS140" i="1"/>
  <c r="CS108" i="1"/>
  <c r="DA140" i="1"/>
  <c r="DA108" i="1"/>
  <c r="BN95" i="1"/>
  <c r="AY95" i="1" s="1"/>
  <c r="DE95" i="1"/>
  <c r="CP95" i="1" s="1"/>
  <c r="BS99" i="1"/>
  <c r="CO99" i="1" s="1"/>
  <c r="J132" i="1"/>
  <c r="J139" i="1" s="1"/>
  <c r="J141" i="1" s="1"/>
  <c r="CS109" i="1"/>
  <c r="BB109" i="1"/>
  <c r="J128" i="1"/>
  <c r="J130" i="1" s="1"/>
  <c r="AW132" i="1"/>
  <c r="BW109" i="1"/>
  <c r="AW128" i="1"/>
  <c r="BR109" i="1"/>
  <c r="CQ132" i="1"/>
  <c r="CQ128" i="1"/>
  <c r="DC132" i="1"/>
  <c r="CR110" i="1"/>
  <c r="BX132" i="1"/>
  <c r="BX139" i="1" s="1"/>
  <c r="BX141" i="1" s="1"/>
  <c r="CS110" i="1"/>
  <c r="BX128" i="1"/>
  <c r="BX130" i="1" s="1"/>
  <c r="BH133" i="1"/>
  <c r="AB127" i="1"/>
  <c r="AX127" i="1" s="1"/>
  <c r="DD29" i="1"/>
  <c r="CP29" i="1" s="1"/>
  <c r="Z135" i="1"/>
  <c r="DI30" i="1"/>
  <c r="W135" i="1"/>
  <c r="W139" i="1" s="1"/>
  <c r="W141" i="1" s="1"/>
  <c r="DF32" i="1"/>
  <c r="BM36" i="1"/>
  <c r="AY36" i="1" s="1"/>
  <c r="AP135" i="1"/>
  <c r="AP58" i="1"/>
  <c r="CF135" i="1"/>
  <c r="CF139" i="1" s="1"/>
  <c r="CF141" i="1" s="1"/>
  <c r="BT41" i="1"/>
  <c r="L135" i="1"/>
  <c r="L139" i="1" s="1"/>
  <c r="L141" i="1" s="1"/>
  <c r="L58" i="1"/>
  <c r="L130" i="1" s="1"/>
  <c r="CU56" i="1"/>
  <c r="CU135" i="1" s="1"/>
  <c r="BD56" i="1"/>
  <c r="AW137" i="1"/>
  <c r="AW91" i="1"/>
  <c r="BF137" i="1"/>
  <c r="BN136" i="1"/>
  <c r="AB61" i="1"/>
  <c r="AX61" i="1" s="1"/>
  <c r="S137" i="1"/>
  <c r="S139" i="1" s="1"/>
  <c r="S141" i="1" s="1"/>
  <c r="BK63" i="1"/>
  <c r="AO137" i="1"/>
  <c r="AO139" i="1" s="1"/>
  <c r="AO141" i="1" s="1"/>
  <c r="AO91" i="1"/>
  <c r="AB68" i="1"/>
  <c r="AX68" i="1" s="1"/>
  <c r="DI68" i="1"/>
  <c r="CP68" i="1" s="1"/>
  <c r="BS69" i="1"/>
  <c r="CO69" i="1" s="1"/>
  <c r="CP70" i="1"/>
  <c r="AY74" i="1"/>
  <c r="BS75" i="1"/>
  <c r="CO75" i="1" s="1"/>
  <c r="BS76" i="1"/>
  <c r="CO76" i="1" s="1"/>
  <c r="BT78" i="1"/>
  <c r="BT83" i="1"/>
  <c r="AY86" i="1"/>
  <c r="AB87" i="1"/>
  <c r="AX87" i="1" s="1"/>
  <c r="BN91" i="1"/>
  <c r="CG91" i="1"/>
  <c r="CQ91" i="1"/>
  <c r="G94" i="1"/>
  <c r="BS94" i="1" s="1"/>
  <c r="CO94" i="1" s="1"/>
  <c r="BN94" i="1"/>
  <c r="AY94" i="1" s="1"/>
  <c r="DE94" i="1"/>
  <c r="CP94" i="1" s="1"/>
  <c r="M132" i="1"/>
  <c r="M139" i="1" s="1"/>
  <c r="M141" i="1" s="1"/>
  <c r="M128" i="1"/>
  <c r="M130" i="1" s="1"/>
  <c r="CV109" i="1"/>
  <c r="CS111" i="1"/>
  <c r="G111" i="1"/>
  <c r="G132" i="1" s="1"/>
  <c r="BB111" i="1"/>
  <c r="AZ133" i="1"/>
  <c r="BW133" i="1"/>
  <c r="BT112" i="1"/>
  <c r="CE133" i="1"/>
  <c r="CZ115" i="1"/>
  <c r="BR118" i="1"/>
  <c r="AY118" i="1" s="1"/>
  <c r="DI118" i="1"/>
  <c r="CP118" i="1" s="1"/>
  <c r="AP133" i="1"/>
  <c r="AP128" i="1"/>
  <c r="AC120" i="1"/>
  <c r="BK120" i="1"/>
  <c r="BK128" i="1" s="1"/>
  <c r="DC121" i="1"/>
  <c r="DC128" i="1" s="1"/>
  <c r="BL121" i="1"/>
  <c r="G121" i="1"/>
  <c r="T138" i="1"/>
  <c r="T139" i="1" s="1"/>
  <c r="T141" i="1" s="1"/>
  <c r="BT123" i="1"/>
  <c r="CT123" i="1"/>
  <c r="CP123" i="1" s="1"/>
  <c r="AY37" i="1"/>
  <c r="AB40" i="1"/>
  <c r="AX40" i="1" s="1"/>
  <c r="BS43" i="1"/>
  <c r="CO43" i="1" s="1"/>
  <c r="AY49" i="1"/>
  <c r="AI135" i="1"/>
  <c r="AC56" i="1"/>
  <c r="BG137" i="1"/>
  <c r="BQ137" i="1"/>
  <c r="AB63" i="1"/>
  <c r="AX63" i="1" s="1"/>
  <c r="CP73" i="1"/>
  <c r="BC77" i="1"/>
  <c r="AY77" i="1" s="1"/>
  <c r="AC77" i="1"/>
  <c r="AY79" i="1"/>
  <c r="BS86" i="1"/>
  <c r="CO86" i="1" s="1"/>
  <c r="DH91" i="1"/>
  <c r="BG108" i="1"/>
  <c r="CU140" i="1"/>
  <c r="CU108" i="1"/>
  <c r="CY108" i="1"/>
  <c r="DH108" i="1"/>
  <c r="CN115" i="1"/>
  <c r="AB118" i="1"/>
  <c r="AX118" i="1" s="1"/>
  <c r="BA23" i="1"/>
  <c r="G23" i="1"/>
  <c r="AR135" i="1"/>
  <c r="AR139" i="1" s="1"/>
  <c r="AR141" i="1" s="1"/>
  <c r="BM24" i="1"/>
  <c r="BO32" i="1"/>
  <c r="BP135" i="1"/>
  <c r="CP41" i="1"/>
  <c r="DB137" i="1"/>
  <c r="DB91" i="1"/>
  <c r="AH137" i="1"/>
  <c r="AH91" i="1"/>
  <c r="AY66" i="1"/>
  <c r="CP76" i="1"/>
  <c r="CP83" i="1"/>
  <c r="S91" i="1"/>
  <c r="S130" i="1" s="1"/>
  <c r="BH140" i="1"/>
  <c r="BH108" i="1"/>
  <c r="CV108" i="1"/>
  <c r="CP97" i="1"/>
  <c r="DC108" i="1"/>
  <c r="BS118" i="1"/>
  <c r="CO118" i="1" s="1"/>
  <c r="I135" i="1"/>
  <c r="BB135" i="1"/>
  <c r="BW135" i="1"/>
  <c r="CV135" i="1"/>
  <c r="BD59" i="1"/>
  <c r="BL137" i="1"/>
  <c r="CN137" i="1"/>
  <c r="DD137" i="1"/>
  <c r="BR61" i="1"/>
  <c r="AY61" i="1" s="1"/>
  <c r="BP137" i="1"/>
  <c r="BK80" i="1"/>
  <c r="CF91" i="1"/>
  <c r="BF108" i="1"/>
  <c r="BQ108" i="1"/>
  <c r="CT140" i="1"/>
  <c r="DB140" i="1"/>
  <c r="DB108" i="1"/>
  <c r="AW140" i="1"/>
  <c r="AW108" i="1"/>
  <c r="AC96" i="1"/>
  <c r="CP99" i="1"/>
  <c r="AF140" i="1"/>
  <c r="BA104" i="1"/>
  <c r="AF108" i="1"/>
  <c r="BM107" i="1"/>
  <c r="I128" i="1"/>
  <c r="I132" i="1"/>
  <c r="BA109" i="1"/>
  <c r="I133" i="1"/>
  <c r="CR112" i="1"/>
  <c r="BA112" i="1"/>
  <c r="AH128" i="1"/>
  <c r="AC122" i="1"/>
  <c r="AC32" i="1"/>
  <c r="BT34" i="1"/>
  <c r="AC38" i="1"/>
  <c r="BT38" i="1"/>
  <c r="AV135" i="1"/>
  <c r="AV139" i="1" s="1"/>
  <c r="AV141" i="1" s="1"/>
  <c r="BJ41" i="1"/>
  <c r="BJ135" i="1" s="1"/>
  <c r="AC44" i="1"/>
  <c r="BT45" i="1"/>
  <c r="BT47" i="1"/>
  <c r="AC55" i="1"/>
  <c r="BT56" i="1"/>
  <c r="BB58" i="1"/>
  <c r="AZ137" i="1"/>
  <c r="BH137" i="1"/>
  <c r="BR59" i="1"/>
  <c r="CR137" i="1"/>
  <c r="CZ137" i="1"/>
  <c r="BY64" i="1"/>
  <c r="BS88" i="1"/>
  <c r="CO88" i="1" s="1"/>
  <c r="BB140" i="1"/>
  <c r="BJ140" i="1"/>
  <c r="CV140" i="1"/>
  <c r="AY100" i="1"/>
  <c r="BR101" i="1"/>
  <c r="AY101" i="1" s="1"/>
  <c r="DI101" i="1"/>
  <c r="BC132" i="1"/>
  <c r="CT132" i="1"/>
  <c r="CS133" i="1"/>
  <c r="DA133" i="1"/>
  <c r="BE133" i="1"/>
  <c r="CP116" i="1"/>
  <c r="CL138" i="1"/>
  <c r="CL139" i="1" s="1"/>
  <c r="CL141" i="1" s="1"/>
  <c r="CL128" i="1"/>
  <c r="CL130" i="1" s="1"/>
  <c r="CP124" i="1"/>
  <c r="CA139" i="1"/>
  <c r="CA141" i="1" s="1"/>
  <c r="CA142" i="1" s="1"/>
  <c r="AW135" i="1"/>
  <c r="Z137" i="1"/>
  <c r="Z91" i="1"/>
  <c r="BA137" i="1"/>
  <c r="BI137" i="1"/>
  <c r="CS137" i="1"/>
  <c r="CS91" i="1"/>
  <c r="CG137" i="1"/>
  <c r="BS82" i="1"/>
  <c r="CO82" i="1" s="1"/>
  <c r="AZ91" i="1"/>
  <c r="CV91" i="1"/>
  <c r="BS105" i="1"/>
  <c r="CO105" i="1" s="1"/>
  <c r="BD128" i="1"/>
  <c r="BA114" i="1"/>
  <c r="AY114" i="1" s="1"/>
  <c r="AC114" i="1"/>
  <c r="CP126" i="1"/>
  <c r="CT127" i="1"/>
  <c r="CP127" i="1" s="1"/>
  <c r="BL132" i="1"/>
  <c r="CW140" i="1"/>
  <c r="BN103" i="1"/>
  <c r="AY103" i="1" s="1"/>
  <c r="AY105" i="1"/>
  <c r="N128" i="1"/>
  <c r="N130" i="1" s="1"/>
  <c r="N132" i="1"/>
  <c r="N139" i="1" s="1"/>
  <c r="N141" i="1" s="1"/>
  <c r="BG128" i="1"/>
  <c r="CU132" i="1"/>
  <c r="DD132" i="1"/>
  <c r="AB113" i="1"/>
  <c r="AX113" i="1" s="1"/>
  <c r="AC115" i="1"/>
  <c r="G119" i="1"/>
  <c r="BS119" i="1" s="1"/>
  <c r="CO119" i="1" s="1"/>
  <c r="BY128" i="1"/>
  <c r="CD139" i="1"/>
  <c r="CD141" i="1" s="1"/>
  <c r="AS140" i="1"/>
  <c r="BE140" i="1"/>
  <c r="BE108" i="1"/>
  <c r="CX140" i="1"/>
  <c r="DG140" i="1"/>
  <c r="U140" i="1"/>
  <c r="G98" i="1"/>
  <c r="DD98" i="1"/>
  <c r="AB99" i="1"/>
  <c r="AX99" i="1" s="1"/>
  <c r="CX132" i="1"/>
  <c r="CX128" i="1"/>
  <c r="DE132" i="1"/>
  <c r="AF133" i="1"/>
  <c r="AC112" i="1"/>
  <c r="U133" i="1"/>
  <c r="U128" i="1"/>
  <c r="BM119" i="1"/>
  <c r="DD119" i="1"/>
  <c r="DD133" i="1" s="1"/>
  <c r="AQ138" i="1"/>
  <c r="AQ128" i="1"/>
  <c r="AC121" i="1"/>
  <c r="BU139" i="1"/>
  <c r="BU141" i="1" s="1"/>
  <c r="BP140" i="1"/>
  <c r="BF140" i="1"/>
  <c r="CQ140" i="1"/>
  <c r="CY140" i="1"/>
  <c r="DH140" i="1"/>
  <c r="CN140" i="1"/>
  <c r="CN108" i="1"/>
  <c r="DE103" i="1"/>
  <c r="CP103" i="1" s="1"/>
  <c r="G107" i="1"/>
  <c r="BS107" i="1" s="1"/>
  <c r="CO107" i="1" s="1"/>
  <c r="BA107" i="1"/>
  <c r="Q128" i="1"/>
  <c r="Q130" i="1" s="1"/>
  <c r="Q142" i="1" s="1"/>
  <c r="BI109" i="1"/>
  <c r="AZ128" i="1"/>
  <c r="BJ132" i="1"/>
  <c r="BJ128" i="1"/>
  <c r="CW109" i="1"/>
  <c r="DI110" i="1"/>
  <c r="BM133" i="1"/>
  <c r="CY133" i="1"/>
  <c r="CR119" i="1"/>
  <c r="CP119" i="1" s="1"/>
  <c r="AU138" i="1"/>
  <c r="AU139" i="1" s="1"/>
  <c r="AU141" i="1" s="1"/>
  <c r="AU128" i="1"/>
  <c r="AU130" i="1" s="1"/>
  <c r="BG140" i="1"/>
  <c r="CR140" i="1"/>
  <c r="CZ140" i="1"/>
  <c r="BN102" i="1"/>
  <c r="BK132" i="1"/>
  <c r="CN132" i="1"/>
  <c r="DH132" i="1"/>
  <c r="DH128" i="1"/>
  <c r="AW133" i="1"/>
  <c r="CZ133" i="1"/>
  <c r="BA113" i="1"/>
  <c r="AY113" i="1" s="1"/>
  <c r="BA115" i="1"/>
  <c r="BC122" i="1"/>
  <c r="O128" i="1"/>
  <c r="O130" i="1" s="1"/>
  <c r="CU128" i="1"/>
  <c r="AZ132" i="1"/>
  <c r="BK140" i="1"/>
  <c r="CJ140" i="1"/>
  <c r="BH110" i="1"/>
  <c r="BH128" i="1" s="1"/>
  <c r="CK139" i="1"/>
  <c r="CK141" i="1" s="1"/>
  <c r="CK142" i="1" s="1"/>
  <c r="CW133" i="1"/>
  <c r="DE133" i="1"/>
  <c r="K128" i="1"/>
  <c r="DG128" i="1"/>
  <c r="BV139" i="1"/>
  <c r="BF133" i="1"/>
  <c r="BN133" i="1"/>
  <c r="CE128" i="1"/>
  <c r="CE130" i="1" s="1"/>
  <c r="CE132" i="1"/>
  <c r="BG133" i="1"/>
  <c r="BQ133" i="1"/>
  <c r="DH133" i="1"/>
  <c r="AE139" i="1"/>
  <c r="Y139" i="1"/>
  <c r="Y141" i="1" s="1"/>
  <c r="AK139" i="1"/>
  <c r="AK141" i="1" s="1"/>
  <c r="AS139" i="1"/>
  <c r="DI134" i="1" l="1"/>
  <c r="S142" i="1"/>
  <c r="CD142" i="1"/>
  <c r="V141" i="1"/>
  <c r="U130" i="1"/>
  <c r="P142" i="1"/>
  <c r="O142" i="1"/>
  <c r="CY128" i="1"/>
  <c r="CY130" i="1" s="1"/>
  <c r="CY142" i="1" s="1"/>
  <c r="U139" i="1"/>
  <c r="BP130" i="1"/>
  <c r="CX139" i="1"/>
  <c r="CX141" i="1" s="1"/>
  <c r="CP37" i="1"/>
  <c r="CG139" i="1"/>
  <c r="CG141" i="1" s="1"/>
  <c r="AL142" i="1"/>
  <c r="AJ142" i="1"/>
  <c r="CP107" i="1"/>
  <c r="AK142" i="1"/>
  <c r="M142" i="1"/>
  <c r="AY50" i="1"/>
  <c r="AB59" i="1"/>
  <c r="AX59" i="1" s="1"/>
  <c r="X142" i="1"/>
  <c r="DB58" i="1"/>
  <c r="BC140" i="1"/>
  <c r="AS141" i="1"/>
  <c r="AS142" i="1" s="1"/>
  <c r="CP111" i="1"/>
  <c r="CT128" i="1"/>
  <c r="BM140" i="1"/>
  <c r="CP120" i="1"/>
  <c r="DC136" i="1"/>
  <c r="CU136" i="1"/>
  <c r="BK133" i="1"/>
  <c r="AY120" i="1"/>
  <c r="AY8" i="1"/>
  <c r="AC136" i="1"/>
  <c r="AB136" i="1" s="1"/>
  <c r="AX136" i="1" s="1"/>
  <c r="AI139" i="1"/>
  <c r="AI141" i="1" s="1"/>
  <c r="CZ132" i="1"/>
  <c r="CZ139" i="1" s="1"/>
  <c r="CZ141" i="1" s="1"/>
  <c r="BQ58" i="1"/>
  <c r="BQ130" i="1" s="1"/>
  <c r="BT8" i="1"/>
  <c r="BS8" i="1" s="1"/>
  <c r="CO8" i="1" s="1"/>
  <c r="AY112" i="1"/>
  <c r="BA135" i="1"/>
  <c r="AZ108" i="1"/>
  <c r="BQ135" i="1"/>
  <c r="BQ139" i="1" s="1"/>
  <c r="BQ141" i="1" s="1"/>
  <c r="AC134" i="1"/>
  <c r="DB133" i="1"/>
  <c r="DI58" i="1"/>
  <c r="DH135" i="1"/>
  <c r="DH139" i="1" s="1"/>
  <c r="DH141" i="1" s="1"/>
  <c r="AY110" i="1"/>
  <c r="AY98" i="1"/>
  <c r="CG130" i="1"/>
  <c r="AU142" i="1"/>
  <c r="BM108" i="1"/>
  <c r="J142" i="1"/>
  <c r="DI136" i="1"/>
  <c r="AY41" i="1"/>
  <c r="AI130" i="1"/>
  <c r="CC142" i="1"/>
  <c r="AV142" i="1"/>
  <c r="AP139" i="1"/>
  <c r="AP141" i="1" s="1"/>
  <c r="AY111" i="1"/>
  <c r="K139" i="1"/>
  <c r="K141" i="1" s="1"/>
  <c r="CB142" i="1"/>
  <c r="CJ141" i="1"/>
  <c r="CJ142" i="1" s="1"/>
  <c r="N142" i="1"/>
  <c r="CP125" i="1"/>
  <c r="T142" i="1"/>
  <c r="BS67" i="1"/>
  <c r="CO67" i="1" s="1"/>
  <c r="BT136" i="1"/>
  <c r="BS136" i="1" s="1"/>
  <c r="CO136" i="1" s="1"/>
  <c r="Z139" i="1"/>
  <c r="Z141" i="1" s="1"/>
  <c r="DH58" i="1"/>
  <c r="BJ58" i="1"/>
  <c r="K130" i="1"/>
  <c r="BF130" i="1"/>
  <c r="BS98" i="1"/>
  <c r="CO98" i="1" s="1"/>
  <c r="CP32" i="1"/>
  <c r="CP110" i="1"/>
  <c r="CF130" i="1"/>
  <c r="CF142" i="1" s="1"/>
  <c r="AB82" i="1"/>
  <c r="AX82" i="1" s="1"/>
  <c r="BT108" i="1"/>
  <c r="BA20" i="1"/>
  <c r="CP13" i="1"/>
  <c r="BS116" i="1"/>
  <c r="CO116" i="1" s="1"/>
  <c r="BM135" i="1"/>
  <c r="BM139" i="1" s="1"/>
  <c r="BM141" i="1" s="1"/>
  <c r="BX142" i="1"/>
  <c r="AY80" i="1"/>
  <c r="DI137" i="1"/>
  <c r="BV141" i="1"/>
  <c r="BV142" i="1" s="1"/>
  <c r="AY115" i="1"/>
  <c r="DI135" i="1"/>
  <c r="AO130" i="1"/>
  <c r="AO142" i="1" s="1"/>
  <c r="CN135" i="1"/>
  <c r="BT135" i="1" s="1"/>
  <c r="CP5" i="1"/>
  <c r="CM142" i="1"/>
  <c r="CI142" i="1"/>
  <c r="AH139" i="1"/>
  <c r="AH141" i="1" s="1"/>
  <c r="CE139" i="1"/>
  <c r="CE141" i="1" s="1"/>
  <c r="CE142" i="1" s="1"/>
  <c r="AC108" i="1"/>
  <c r="AW139" i="1"/>
  <c r="AW141" i="1" s="1"/>
  <c r="BR135" i="1"/>
  <c r="CP15" i="1"/>
  <c r="CL142" i="1"/>
  <c r="AN142" i="1"/>
  <c r="BA58" i="1"/>
  <c r="DG139" i="1"/>
  <c r="DG141" i="1" s="1"/>
  <c r="AC140" i="1"/>
  <c r="CP30" i="1"/>
  <c r="AY107" i="1"/>
  <c r="CR58" i="1"/>
  <c r="CN58" i="1"/>
  <c r="AY24" i="1"/>
  <c r="DB20" i="1"/>
  <c r="DB130" i="1" s="1"/>
  <c r="DI140" i="1"/>
  <c r="CP101" i="1"/>
  <c r="DI108" i="1"/>
  <c r="BS38" i="1"/>
  <c r="CO38" i="1" s="1"/>
  <c r="BA132" i="1"/>
  <c r="BA128" i="1"/>
  <c r="AY109" i="1"/>
  <c r="DA91" i="1"/>
  <c r="DA130" i="1" s="1"/>
  <c r="DA137" i="1"/>
  <c r="DA139" i="1" s="1"/>
  <c r="DA141" i="1" s="1"/>
  <c r="AB41" i="1"/>
  <c r="AX41" i="1" s="1"/>
  <c r="BS117" i="1"/>
  <c r="CO117" i="1" s="1"/>
  <c r="BS30" i="1"/>
  <c r="CO30" i="1" s="1"/>
  <c r="AB15" i="1"/>
  <c r="AX15" i="1" s="1"/>
  <c r="BS5" i="1"/>
  <c r="CO5" i="1" s="1"/>
  <c r="G20" i="1"/>
  <c r="CR135" i="1"/>
  <c r="CP98" i="1"/>
  <c r="DD108" i="1"/>
  <c r="DD140" i="1"/>
  <c r="BY91" i="1"/>
  <c r="BT64" i="1"/>
  <c r="BT91" i="1" s="1"/>
  <c r="CT64" i="1"/>
  <c r="BY137" i="1"/>
  <c r="BT137" i="1" s="1"/>
  <c r="BS56" i="1"/>
  <c r="CO56" i="1" s="1"/>
  <c r="AB38" i="1"/>
  <c r="AX38" i="1" s="1"/>
  <c r="I139" i="1"/>
  <c r="I141" i="1" s="1"/>
  <c r="BD137" i="1"/>
  <c r="BD91" i="1"/>
  <c r="BP139" i="1"/>
  <c r="BP141" i="1" s="1"/>
  <c r="BP142" i="1" s="1"/>
  <c r="AC137" i="1"/>
  <c r="AY56" i="1"/>
  <c r="BD135" i="1"/>
  <c r="BD58" i="1"/>
  <c r="BB132" i="1"/>
  <c r="BB139" i="1" s="1"/>
  <c r="BB141" i="1" s="1"/>
  <c r="BB128" i="1"/>
  <c r="BB130" i="1" s="1"/>
  <c r="AC135" i="1"/>
  <c r="DD135" i="1"/>
  <c r="DD139" i="1" s="1"/>
  <c r="AB90" i="1"/>
  <c r="AX90" i="1" s="1"/>
  <c r="R142" i="1"/>
  <c r="AR142" i="1"/>
  <c r="AB6" i="1"/>
  <c r="AX6" i="1" s="1"/>
  <c r="BS32" i="1"/>
  <c r="CO32" i="1" s="1"/>
  <c r="DC130" i="1"/>
  <c r="I130" i="1"/>
  <c r="AB62" i="1"/>
  <c r="AX62" i="1" s="1"/>
  <c r="AC91" i="1"/>
  <c r="CP25" i="1"/>
  <c r="G133" i="1"/>
  <c r="Z130" i="1"/>
  <c r="Z142" i="1" s="1"/>
  <c r="BO135" i="1"/>
  <c r="BO139" i="1" s="1"/>
  <c r="BO141" i="1" s="1"/>
  <c r="BO58" i="1"/>
  <c r="BO130" i="1" s="1"/>
  <c r="AY32" i="1"/>
  <c r="DI115" i="1"/>
  <c r="DI128" i="1" s="1"/>
  <c r="BT115" i="1"/>
  <c r="BS123" i="1"/>
  <c r="CO123" i="1" s="1"/>
  <c r="CS132" i="1"/>
  <c r="CS139" i="1" s="1"/>
  <c r="CS141" i="1" s="1"/>
  <c r="CS128" i="1"/>
  <c r="CS130" i="1" s="1"/>
  <c r="AP130" i="1"/>
  <c r="CY139" i="1"/>
  <c r="CY141" i="1" s="1"/>
  <c r="AC133" i="1"/>
  <c r="BS47" i="1"/>
  <c r="CO47" i="1" s="1"/>
  <c r="BS34" i="1"/>
  <c r="CO34" i="1" s="1"/>
  <c r="BS78" i="1"/>
  <c r="CO78" i="1" s="1"/>
  <c r="BR58" i="1"/>
  <c r="CW128" i="1"/>
  <c r="CW132" i="1"/>
  <c r="CW139" i="1" s="1"/>
  <c r="CW141" i="1" s="1"/>
  <c r="BR108" i="1"/>
  <c r="G138" i="1"/>
  <c r="AB111" i="1"/>
  <c r="AX111" i="1" s="1"/>
  <c r="G128" i="1"/>
  <c r="BS111" i="1"/>
  <c r="CO111" i="1" s="1"/>
  <c r="AB94" i="1"/>
  <c r="AX94" i="1" s="1"/>
  <c r="AB102" i="1"/>
  <c r="AX102" i="1" s="1"/>
  <c r="BS102" i="1"/>
  <c r="CO102" i="1" s="1"/>
  <c r="DI132" i="1"/>
  <c r="AB89" i="1"/>
  <c r="AX89" i="1" s="1"/>
  <c r="L142" i="1"/>
  <c r="CP50" i="1"/>
  <c r="CT9" i="1"/>
  <c r="CT20" i="1" s="1"/>
  <c r="AY7" i="1"/>
  <c r="AB65" i="1"/>
  <c r="AX65" i="1" s="1"/>
  <c r="BS65" i="1"/>
  <c r="CO65" i="1" s="1"/>
  <c r="BS42" i="1"/>
  <c r="CO42" i="1" s="1"/>
  <c r="AB42" i="1"/>
  <c r="AX42" i="1" s="1"/>
  <c r="AB55" i="1"/>
  <c r="AX55" i="1" s="1"/>
  <c r="AC58" i="1"/>
  <c r="BS23" i="1"/>
  <c r="CO23" i="1" s="1"/>
  <c r="BS13" i="1"/>
  <c r="CO13" i="1" s="1"/>
  <c r="CN133" i="1"/>
  <c r="BE139" i="1"/>
  <c r="BE141" i="1" s="1"/>
  <c r="BS77" i="1"/>
  <c r="CO77" i="1" s="1"/>
  <c r="BG130" i="1"/>
  <c r="BM58" i="1"/>
  <c r="CN128" i="1"/>
  <c r="AB114" i="1"/>
  <c r="AX114" i="1" s="1"/>
  <c r="BA108" i="1"/>
  <c r="G135" i="1"/>
  <c r="BR140" i="1"/>
  <c r="BL138" i="1"/>
  <c r="AY138" i="1" s="1"/>
  <c r="AY121" i="1"/>
  <c r="BL128" i="1"/>
  <c r="BL130" i="1" s="1"/>
  <c r="CP104" i="1"/>
  <c r="CQ108" i="1"/>
  <c r="CQ130" i="1" s="1"/>
  <c r="BK20" i="1"/>
  <c r="AG139" i="1"/>
  <c r="AG141" i="1" s="1"/>
  <c r="AG142" i="1" s="1"/>
  <c r="AC132" i="1"/>
  <c r="BS48" i="1"/>
  <c r="CO48" i="1" s="1"/>
  <c r="BS72" i="1"/>
  <c r="CO72" i="1" s="1"/>
  <c r="AY59" i="1"/>
  <c r="AW130" i="1"/>
  <c r="BC136" i="1"/>
  <c r="AY5" i="1"/>
  <c r="BC20" i="1"/>
  <c r="BR20" i="1"/>
  <c r="BR136" i="1"/>
  <c r="CU137" i="1"/>
  <c r="CU91" i="1"/>
  <c r="CP59" i="1"/>
  <c r="DD58" i="1"/>
  <c r="AB50" i="1"/>
  <c r="AX50" i="1" s="1"/>
  <c r="BS50" i="1"/>
  <c r="CO50" i="1" s="1"/>
  <c r="AB64" i="1"/>
  <c r="AX64" i="1" s="1"/>
  <c r="G91" i="1"/>
  <c r="G137" i="1"/>
  <c r="AB19" i="1"/>
  <c r="AX19" i="1" s="1"/>
  <c r="AC138" i="1"/>
  <c r="AQ139" i="1"/>
  <c r="AQ141" i="1" s="1"/>
  <c r="AB112" i="1"/>
  <c r="AX112" i="1" s="1"/>
  <c r="AB96" i="1"/>
  <c r="AX96" i="1" s="1"/>
  <c r="BS83" i="1"/>
  <c r="CO83" i="1" s="1"/>
  <c r="BK91" i="1"/>
  <c r="BK137" i="1"/>
  <c r="CU58" i="1"/>
  <c r="CU130" i="1" s="1"/>
  <c r="CP56" i="1"/>
  <c r="DF135" i="1"/>
  <c r="DF139" i="1" s="1"/>
  <c r="DF141" i="1" s="1"/>
  <c r="DF58" i="1"/>
  <c r="DF130" i="1" s="1"/>
  <c r="AY63" i="1"/>
  <c r="BC128" i="1"/>
  <c r="AY122" i="1"/>
  <c r="AB107" i="1"/>
  <c r="AX107" i="1" s="1"/>
  <c r="DD128" i="1"/>
  <c r="AB80" i="1"/>
  <c r="AX80" i="1" s="1"/>
  <c r="DI91" i="1"/>
  <c r="AB27" i="1"/>
  <c r="AX27" i="1" s="1"/>
  <c r="BS27" i="1"/>
  <c r="CO27" i="1" s="1"/>
  <c r="CT136" i="1"/>
  <c r="BT138" i="1"/>
  <c r="CH139" i="1"/>
  <c r="CH141" i="1" s="1"/>
  <c r="CZ128" i="1"/>
  <c r="CZ130" i="1" s="1"/>
  <c r="CP6" i="1"/>
  <c r="CR20" i="1"/>
  <c r="CR136" i="1"/>
  <c r="BR133" i="1"/>
  <c r="BN140" i="1"/>
  <c r="BN108" i="1"/>
  <c r="BN130" i="1" s="1"/>
  <c r="AY93" i="1"/>
  <c r="BS9" i="1"/>
  <c r="CO9" i="1" s="1"/>
  <c r="DG130" i="1"/>
  <c r="BS37" i="1"/>
  <c r="CO37" i="1" s="1"/>
  <c r="AB78" i="1"/>
  <c r="AX78" i="1" s="1"/>
  <c r="AB13" i="1"/>
  <c r="AX13" i="1" s="1"/>
  <c r="BS15" i="1"/>
  <c r="CO15" i="1" s="1"/>
  <c r="AB5" i="1"/>
  <c r="AX5" i="1" s="1"/>
  <c r="BR137" i="1"/>
  <c r="BR91" i="1"/>
  <c r="BS45" i="1"/>
  <c r="CO45" i="1" s="1"/>
  <c r="AB32" i="1"/>
  <c r="AX32" i="1" s="1"/>
  <c r="DC138" i="1"/>
  <c r="CP138" i="1" s="1"/>
  <c r="CP121" i="1"/>
  <c r="CQ139" i="1"/>
  <c r="CQ141" i="1" s="1"/>
  <c r="AZ130" i="1"/>
  <c r="AY15" i="1"/>
  <c r="G58" i="1"/>
  <c r="BC91" i="1"/>
  <c r="U141" i="1"/>
  <c r="AE141" i="1"/>
  <c r="AE142" i="1" s="1"/>
  <c r="BI132" i="1"/>
  <c r="BI139" i="1" s="1"/>
  <c r="BI141" i="1" s="1"/>
  <c r="BI128" i="1"/>
  <c r="BI130" i="1" s="1"/>
  <c r="AB121" i="1"/>
  <c r="AX121" i="1" s="1"/>
  <c r="BH132" i="1"/>
  <c r="BH139" i="1" s="1"/>
  <c r="BH141" i="1" s="1"/>
  <c r="AB77" i="1"/>
  <c r="AX77" i="1" s="1"/>
  <c r="BW128" i="1"/>
  <c r="BW130" i="1" s="1"/>
  <c r="BW132" i="1"/>
  <c r="BT109" i="1"/>
  <c r="CR109" i="1"/>
  <c r="BS73" i="1"/>
  <c r="CO73" i="1" s="1"/>
  <c r="BS35" i="1"/>
  <c r="CO35" i="1" s="1"/>
  <c r="BT52" i="1"/>
  <c r="BF139" i="1"/>
  <c r="BF141" i="1" s="1"/>
  <c r="BA140" i="1"/>
  <c r="BC137" i="1"/>
  <c r="BJ130" i="1"/>
  <c r="DB136" i="1"/>
  <c r="BS121" i="1"/>
  <c r="CO121" i="1" s="1"/>
  <c r="AY104" i="1"/>
  <c r="BS63" i="1"/>
  <c r="CO63" i="1" s="1"/>
  <c r="BS59" i="1"/>
  <c r="CO59" i="1" s="1"/>
  <c r="AB35" i="1"/>
  <c r="AX35" i="1" s="1"/>
  <c r="BS7" i="1"/>
  <c r="CO7" i="1" s="1"/>
  <c r="AY23" i="1"/>
  <c r="AB134" i="1"/>
  <c r="AX134" i="1" s="1"/>
  <c r="AB25" i="1"/>
  <c r="AX25" i="1" s="1"/>
  <c r="BH130" i="1"/>
  <c r="BS54" i="1"/>
  <c r="CO54" i="1" s="1"/>
  <c r="AY102" i="1"/>
  <c r="BJ139" i="1"/>
  <c r="BJ141" i="1" s="1"/>
  <c r="BG139" i="1"/>
  <c r="BG141" i="1" s="1"/>
  <c r="AB44" i="1"/>
  <c r="AX44" i="1" s="1"/>
  <c r="CV128" i="1"/>
  <c r="CV130" i="1" s="1"/>
  <c r="CV132" i="1"/>
  <c r="CV139" i="1" s="1"/>
  <c r="CV141" i="1" s="1"/>
  <c r="BR132" i="1"/>
  <c r="BR128" i="1"/>
  <c r="AC128" i="1"/>
  <c r="AB109" i="1"/>
  <c r="AX109" i="1" s="1"/>
  <c r="BS89" i="1"/>
  <c r="CO89" i="1" s="1"/>
  <c r="BS104" i="1"/>
  <c r="CO104" i="1" s="1"/>
  <c r="BS24" i="1"/>
  <c r="CO24" i="1" s="1"/>
  <c r="AB23" i="1"/>
  <c r="AX23" i="1" s="1"/>
  <c r="CR134" i="1"/>
  <c r="CP8" i="1"/>
  <c r="AB116" i="1"/>
  <c r="AX116" i="1" s="1"/>
  <c r="BN139" i="1"/>
  <c r="G140" i="1"/>
  <c r="G108" i="1"/>
  <c r="CX130" i="1"/>
  <c r="CX142" i="1" s="1"/>
  <c r="BS57" i="1"/>
  <c r="CO57" i="1" s="1"/>
  <c r="BC134" i="1"/>
  <c r="AB9" i="1"/>
  <c r="AX9" i="1" s="1"/>
  <c r="AQ130" i="1"/>
  <c r="DH130" i="1"/>
  <c r="BZ130" i="1"/>
  <c r="BZ142" i="1" s="1"/>
  <c r="BA134" i="1"/>
  <c r="BE130" i="1"/>
  <c r="CP9" i="1"/>
  <c r="AB106" i="1"/>
  <c r="AX106" i="1" s="1"/>
  <c r="AZ139" i="1"/>
  <c r="AZ141" i="1" s="1"/>
  <c r="AY119" i="1"/>
  <c r="BM128" i="1"/>
  <c r="AB119" i="1"/>
  <c r="AX119" i="1" s="1"/>
  <c r="CT134" i="1"/>
  <c r="BS61" i="1"/>
  <c r="CO61" i="1" s="1"/>
  <c r="BS71" i="1"/>
  <c r="CO71" i="1" s="1"/>
  <c r="AB71" i="1"/>
  <c r="AX71" i="1" s="1"/>
  <c r="CH130" i="1"/>
  <c r="AF130" i="1"/>
  <c r="CW130" i="1"/>
  <c r="AY9" i="1"/>
  <c r="BA133" i="1"/>
  <c r="Y142" i="1"/>
  <c r="AH130" i="1"/>
  <c r="DE139" i="1"/>
  <c r="AB115" i="1"/>
  <c r="AX115" i="1" s="1"/>
  <c r="BS127" i="1"/>
  <c r="CO127" i="1" s="1"/>
  <c r="AB122" i="1"/>
  <c r="AX122" i="1" s="1"/>
  <c r="CR133" i="1"/>
  <c r="CP112" i="1"/>
  <c r="AB56" i="1"/>
  <c r="AX56" i="1" s="1"/>
  <c r="AB120" i="1"/>
  <c r="AX120" i="1" s="1"/>
  <c r="BS112" i="1"/>
  <c r="CO112" i="1" s="1"/>
  <c r="BS41" i="1"/>
  <c r="CO41" i="1" s="1"/>
  <c r="BS81" i="1"/>
  <c r="CO81" i="1" s="1"/>
  <c r="AF139" i="1"/>
  <c r="AF141" i="1" s="1"/>
  <c r="BT140" i="1"/>
  <c r="CP52" i="1"/>
  <c r="AB98" i="1"/>
  <c r="AX98" i="1" s="1"/>
  <c r="V142" i="1"/>
  <c r="AB104" i="1"/>
  <c r="AX104" i="1" s="1"/>
  <c r="DE140" i="1"/>
  <c r="DE108" i="1"/>
  <c r="DE130" i="1" s="1"/>
  <c r="BS6" i="1"/>
  <c r="CO6" i="1" s="1"/>
  <c r="DI20" i="1"/>
  <c r="BS125" i="1"/>
  <c r="CO125" i="1" s="1"/>
  <c r="AB67" i="1"/>
  <c r="AX67" i="1" s="1"/>
  <c r="AB57" i="1"/>
  <c r="AX57" i="1" s="1"/>
  <c r="BY134" i="1"/>
  <c r="BY20" i="1"/>
  <c r="AB39" i="1"/>
  <c r="AX39" i="1" s="1"/>
  <c r="AB8" i="1"/>
  <c r="AX8" i="1" s="1"/>
  <c r="AC20" i="1"/>
  <c r="BF142" i="1" l="1"/>
  <c r="K142" i="1"/>
  <c r="CV142" i="1"/>
  <c r="U142" i="1"/>
  <c r="CG142" i="1"/>
  <c r="CU139" i="1"/>
  <c r="CU141" i="1" s="1"/>
  <c r="CU142" i="1" s="1"/>
  <c r="CN139" i="1"/>
  <c r="CN141" i="1" s="1"/>
  <c r="DD130" i="1"/>
  <c r="BQ142" i="1"/>
  <c r="AI142" i="1"/>
  <c r="DB139" i="1"/>
  <c r="DB141" i="1" s="1"/>
  <c r="AY134" i="1"/>
  <c r="BT20" i="1"/>
  <c r="BS20" i="1" s="1"/>
  <c r="CO20" i="1" s="1"/>
  <c r="BK139" i="1"/>
  <c r="BK141" i="1" s="1"/>
  <c r="CN130" i="1"/>
  <c r="CN142" i="1" s="1"/>
  <c r="BS135" i="1"/>
  <c r="CO135" i="1" s="1"/>
  <c r="CZ142" i="1"/>
  <c r="AP142" i="1"/>
  <c r="DD141" i="1"/>
  <c r="AY137" i="1"/>
  <c r="BI142" i="1"/>
  <c r="AZ142" i="1"/>
  <c r="CP136" i="1"/>
  <c r="BY139" i="1"/>
  <c r="BY141" i="1" s="1"/>
  <c r="CP140" i="1"/>
  <c r="CH142" i="1"/>
  <c r="AY135" i="1"/>
  <c r="BA130" i="1"/>
  <c r="CP134" i="1"/>
  <c r="DG142" i="1"/>
  <c r="BM130" i="1"/>
  <c r="BM142" i="1" s="1"/>
  <c r="CP135" i="1"/>
  <c r="AW142" i="1"/>
  <c r="CW142" i="1"/>
  <c r="BJ142" i="1"/>
  <c r="DF142" i="1"/>
  <c r="CP108" i="1"/>
  <c r="AH142" i="1"/>
  <c r="BT133" i="1"/>
  <c r="BS133" i="1" s="1"/>
  <c r="CO133" i="1" s="1"/>
  <c r="BC139" i="1"/>
  <c r="BC141" i="1" s="1"/>
  <c r="AY140" i="1"/>
  <c r="BD130" i="1"/>
  <c r="BY130" i="1"/>
  <c r="AY133" i="1"/>
  <c r="CQ142" i="1"/>
  <c r="CP20" i="1"/>
  <c r="BN141" i="1"/>
  <c r="BN142" i="1" s="1"/>
  <c r="BR139" i="1"/>
  <c r="BR141" i="1" s="1"/>
  <c r="CP115" i="1"/>
  <c r="BB142" i="1"/>
  <c r="BS91" i="1"/>
  <c r="CO91" i="1" s="1"/>
  <c r="AC139" i="1"/>
  <c r="AB132" i="1"/>
  <c r="AX132" i="1" s="1"/>
  <c r="AB58" i="1"/>
  <c r="AX58" i="1" s="1"/>
  <c r="AY132" i="1"/>
  <c r="DH142" i="1"/>
  <c r="AY136" i="1"/>
  <c r="BS137" i="1"/>
  <c r="CO137" i="1" s="1"/>
  <c r="G130" i="1"/>
  <c r="G139" i="1"/>
  <c r="BS140" i="1"/>
  <c r="CO140" i="1" s="1"/>
  <c r="DE141" i="1"/>
  <c r="DE142" i="1" s="1"/>
  <c r="AF142" i="1"/>
  <c r="AQ142" i="1"/>
  <c r="AB128" i="1"/>
  <c r="AX128" i="1" s="1"/>
  <c r="CR132" i="1"/>
  <c r="CR128" i="1"/>
  <c r="CR130" i="1" s="1"/>
  <c r="CP109" i="1"/>
  <c r="AY91" i="1"/>
  <c r="BS108" i="1"/>
  <c r="CO108" i="1" s="1"/>
  <c r="DI133" i="1"/>
  <c r="CP133" i="1" s="1"/>
  <c r="AB135" i="1"/>
  <c r="AX135" i="1" s="1"/>
  <c r="CP64" i="1"/>
  <c r="CP91" i="1" s="1"/>
  <c r="CT137" i="1"/>
  <c r="CT91" i="1"/>
  <c r="CT130" i="1" s="1"/>
  <c r="DC139" i="1"/>
  <c r="DC141" i="1" s="1"/>
  <c r="DC142" i="1" s="1"/>
  <c r="AB137" i="1"/>
  <c r="AX137" i="1" s="1"/>
  <c r="BK130" i="1"/>
  <c r="BK142" i="1" s="1"/>
  <c r="DB142" i="1"/>
  <c r="BS115" i="1"/>
  <c r="CO115" i="1" s="1"/>
  <c r="AB91" i="1"/>
  <c r="AX91" i="1" s="1"/>
  <c r="BS64" i="1"/>
  <c r="CO64" i="1" s="1"/>
  <c r="AY58" i="1"/>
  <c r="BS52" i="1"/>
  <c r="CO52" i="1" s="1"/>
  <c r="AY108" i="1"/>
  <c r="AB138" i="1"/>
  <c r="AX138" i="1" s="1"/>
  <c r="BT134" i="1"/>
  <c r="BR130" i="1"/>
  <c r="BG142" i="1"/>
  <c r="BT58" i="1"/>
  <c r="AB140" i="1"/>
  <c r="AX140" i="1" s="1"/>
  <c r="AB108" i="1"/>
  <c r="AX108" i="1" s="1"/>
  <c r="BT128" i="1"/>
  <c r="BS109" i="1"/>
  <c r="CO109" i="1" s="1"/>
  <c r="AB133" i="1"/>
  <c r="AX133" i="1" s="1"/>
  <c r="AY128" i="1"/>
  <c r="BE142" i="1"/>
  <c r="BH142" i="1"/>
  <c r="BS138" i="1"/>
  <c r="CO138" i="1" s="1"/>
  <c r="BC130" i="1"/>
  <c r="CO58" i="1"/>
  <c r="CP58" i="1"/>
  <c r="CS142" i="1"/>
  <c r="I142" i="1"/>
  <c r="BD139" i="1"/>
  <c r="BD141" i="1" s="1"/>
  <c r="BA139" i="1"/>
  <c r="BA141" i="1" s="1"/>
  <c r="AC130" i="1"/>
  <c r="AB20" i="1"/>
  <c r="AX20" i="1" s="1"/>
  <c r="AY20" i="1"/>
  <c r="BW139" i="1"/>
  <c r="BW141" i="1" s="1"/>
  <c r="BW142" i="1" s="1"/>
  <c r="BT132" i="1"/>
  <c r="DI130" i="1"/>
  <c r="BL139" i="1"/>
  <c r="BL141" i="1" s="1"/>
  <c r="BL142" i="1" s="1"/>
  <c r="DA142" i="1"/>
  <c r="DD142" i="1" l="1"/>
  <c r="BR142" i="1"/>
  <c r="BC142" i="1"/>
  <c r="BA142" i="1"/>
  <c r="CP128" i="1"/>
  <c r="BY142" i="1"/>
  <c r="AY130" i="1"/>
  <c r="BD142" i="1"/>
  <c r="BS128" i="1"/>
  <c r="CO128" i="1" s="1"/>
  <c r="DI139" i="1"/>
  <c r="DI141" i="1" s="1"/>
  <c r="DI142" i="1" s="1"/>
  <c r="CR139" i="1"/>
  <c r="CR141" i="1" s="1"/>
  <c r="CR142" i="1" s="1"/>
  <c r="CP132" i="1"/>
  <c r="BS58" i="1"/>
  <c r="AC141" i="1"/>
  <c r="AC142" i="1" s="1"/>
  <c r="AB139" i="1"/>
  <c r="AX139" i="1" s="1"/>
  <c r="BS132" i="1"/>
  <c r="CO132" i="1" s="1"/>
  <c r="BT139" i="1"/>
  <c r="BT130" i="1"/>
  <c r="G141" i="1"/>
  <c r="AY139" i="1"/>
  <c r="AY141" i="1" s="1"/>
  <c r="AB130" i="1"/>
  <c r="AX130" i="1" s="1"/>
  <c r="BS134" i="1"/>
  <c r="CO134" i="1" s="1"/>
  <c r="CP137" i="1"/>
  <c r="CT139" i="1"/>
  <c r="CT141" i="1" s="1"/>
  <c r="CT142" i="1" s="1"/>
  <c r="CP130" i="1" l="1"/>
  <c r="AY142" i="1"/>
  <c r="AB141" i="1"/>
  <c r="AX141" i="1" s="1"/>
  <c r="G142" i="1"/>
  <c r="BS130" i="1"/>
  <c r="CO130" i="1" s="1"/>
  <c r="BT141" i="1"/>
  <c r="BT142" i="1" s="1"/>
  <c r="BS139" i="1"/>
  <c r="CO139" i="1" s="1"/>
  <c r="CP139" i="1"/>
  <c r="CP141" i="1" s="1"/>
  <c r="CP142" i="1" l="1"/>
  <c r="BS141" i="1"/>
  <c r="CO141" i="1" s="1"/>
</calcChain>
</file>

<file path=xl/sharedStrings.xml><?xml version="1.0" encoding="utf-8"?>
<sst xmlns="http://schemas.openxmlformats.org/spreadsheetml/2006/main" count="1682" uniqueCount="403">
  <si>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</si>
  <si>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</si>
  <si>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</si>
  <si>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</si>
  <si>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</si>
  <si>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</si>
  <si>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</si>
  <si>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</si>
  <si>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</si>
  <si>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</si>
  <si>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</si>
  <si>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</si>
  <si>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</si>
  <si>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</si>
  <si>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</si>
  <si>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</si>
  <si>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</si>
  <si>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</si>
  <si>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</si>
  <si>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</si>
  <si>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</si>
  <si>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</si>
  <si>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</si>
  <si>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</si>
  <si>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</si>
  <si>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</si>
  <si>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</si>
  <si>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</si>
  <si>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</si>
  <si>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</si>
  <si>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</si>
  <si>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</si>
  <si>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</si>
  <si>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</si>
  <si>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</si>
  <si>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</si>
  <si>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R.NACION FOMENTO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</si>
  <si>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</si>
  <si>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</si>
  <si>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</si>
  <si>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</si>
  <si>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</si>
  <si>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</si>
  <si>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</si>
  <si>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</si>
  <si>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</si>
  <si>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V.ACADEMICA
FACECO
F.C. SOCIALES
F. C. EXACTAS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</si>
  <si>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</si>
  <si>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</si>
  <si>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</si>
  <si>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</si>
  <si>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</si>
  <si>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</si>
  <si>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</si>
  <si>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</si>
  <si>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</si>
  <si>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</si>
  <si>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</si>
  <si>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
F.C. EXACTAS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</si>
  <si>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</si>
  <si>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</si>
  <si>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</si>
  <si>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</si>
  <si>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</si>
  <si>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</si>
  <si>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</si>
  <si>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</si>
  <si>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</si>
  <si>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
F.C.EXACTAS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</si>
  <si>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</si>
  <si>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</si>
  <si>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</si>
  <si>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</si>
  <si>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</si>
  <si>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</si>
  <si>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</si>
  <si>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</si>
  <si>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</si>
  <si>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</si>
  <si>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</si>
  <si>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</si>
  <si>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</si>
  <si>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</si>
  <si>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</si>
  <si>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</si>
  <si>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</si>
  <si>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</si>
  <si>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</si>
  <si>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</si>
  <si>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</si>
  <si>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</si>
  <si>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</si>
  <si>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</si>
  <si>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</si>
  <si>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</si>
  <si>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</si>
  <si>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</si>
  <si>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</si>
  <si>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</si>
  <si>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</si>
  <si>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</si>
  <si>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</si>
  <si>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</si>
  <si>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</si>
  <si>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</si>
  <si>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</si>
  <si>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</si>
  <si>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</si>
  <si>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</si>
  <si>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</si>
  <si>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</si>
  <si>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</si>
  <si>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</si>
  <si>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</si>
  <si>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</si>
  <si>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</si>
  <si>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</si>
  <si>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</si>
  <si>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</si>
  <si>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</si>
  <si>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</si>
  <si>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</si>
  <si>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</si>
  <si>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</si>
  <si>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</si>
  <si>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</si>
  <si>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</si>
  <si>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</si>
  <si>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</si>
  <si>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</si>
  <si>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</si>
  <si>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</si>
  <si>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</si>
  <si>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</si>
  <si>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</si>
  <si>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</si>
  <si>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</si>
  <si>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</si>
  <si>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</si>
  <si>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</si>
  <si>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</si>
  <si>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</si>
  <si>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</si>
  <si>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</si>
  <si>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</si>
  <si>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</si>
  <si>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</si>
  <si>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</si>
  <si>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</si>
  <si>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</si>
  <si>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</si>
  <si>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</si>
  <si>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</si>
  <si>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</si>
  <si>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</si>
  <si>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</si>
  <si>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</si>
  <si>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</si>
  <si>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</si>
  <si>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</si>
  <si>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</si>
  <si>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</si>
  <si>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</si>
  <si>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</si>
  <si>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</si>
  <si>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</si>
  <si>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</si>
  <si>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</si>
  <si>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</si>
  <si>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científicas;.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</si>
  <si>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</si>
  <si>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</si>
  <si>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</si>
  <si>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</si>
  <si>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</si>
  <si>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</si>
  <si>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</si>
  <si>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</si>
  <si>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</si>
  <si>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</si>
  <si>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</si>
  <si>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</si>
  <si>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</si>
  <si>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</si>
  <si>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</si>
  <si>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</si>
  <si>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</si>
  <si>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</si>
  <si>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</si>
  <si>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</si>
  <si>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</si>
  <si>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</si>
  <si>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</si>
  <si>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</si>
  <si>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</si>
  <si>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</si>
  <si>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</si>
  <si>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</si>
  <si>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</si>
  <si>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</si>
  <si>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</si>
  <si>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</si>
  <si>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</si>
  <si>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</si>
  <si>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</si>
  <si>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</si>
  <si>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</si>
  <si>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</si>
  <si>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</si>
  <si>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</si>
  <si>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</si>
  <si>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</si>
  <si>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</si>
  <si>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</si>
  <si>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</si>
  <si>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</si>
  <si>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</si>
  <si>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</si>
  <si>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</si>
  <si>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</si>
  <si>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</si>
  <si>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</si>
  <si>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</si>
  <si>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</si>
  <si>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</si>
  <si>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</si>
  <si>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</si>
  <si>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</si>
  <si>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</si>
  <si>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</si>
  <si>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</si>
  <si>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</si>
  <si>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</si>
  <si>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</si>
  <si>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</si>
  <si>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</si>
  <si>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</si>
  <si>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</si>
  <si>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</si>
  <si>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</si>
  <si>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</si>
  <si>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</si>
  <si>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</si>
  <si>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</si>
  <si>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</si>
  <si>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</si>
  <si>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</si>
  <si>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</si>
  <si>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</si>
  <si>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</si>
  <si>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</si>
  <si>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</si>
  <si>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</si>
  <si>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</si>
  <si>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</si>
  <si>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</si>
  <si>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</si>
  <si>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
F.C. EXACTAS
F.C.J.P.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</si>
  <si>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</si>
  <si>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</si>
  <si>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</si>
  <si>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</si>
  <si>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</si>
  <si>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</si>
  <si>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</si>
  <si>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</si>
  <si>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</si>
  <si>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</si>
  <si>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</si>
  <si>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</si>
  <si>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</si>
  <si>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</si>
  <si>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</si>
  <si>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</si>
  <si>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</si>
  <si>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</si>
  <si>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</si>
  <si>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</si>
  <si>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</si>
  <si>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</si>
  <si>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</si>
  <si>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</si>
  <si>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</si>
  <si>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</si>
  <si>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</si>
  <si>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</si>
  <si>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</si>
  <si>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</si>
  <si>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</si>
  <si>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</si>
  <si>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</si>
  <si>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
F.C. EXACTAS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</si>
  <si>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</si>
  <si>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</si>
  <si>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</si>
  <si>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</si>
  <si>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</si>
  <si>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</si>
  <si>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</si>
  <si>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</si>
  <si>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</si>
  <si>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</si>
  <si>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</si>
  <si>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</si>
  <si>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</si>
  <si>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</si>
  <si>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</si>
  <si>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</si>
  <si>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</si>
  <si>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</si>
  <si>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
F.C.J.P.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</si>
  <si>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</si>
  <si>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</si>
  <si>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</si>
  <si>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</si>
  <si>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</si>
  <si>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</si>
  <si>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</si>
  <si>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</si>
  <si>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Mantenimiento de Equipos de Laboratorio,  Muebles, accesorios y equipos de Oficina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</si>
  <si>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</si>
  <si>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</si>
  <si>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</si>
  <si>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</si>
  <si>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</si>
  <si>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
F. C. EXACTAS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</si>
  <si>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</si>
  <si>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</si>
  <si>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</si>
  <si>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</si>
  <si>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</si>
  <si>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</si>
  <si>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</si>
  <si>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</si>
  <si>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</si>
  <si>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</si>
  <si>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</si>
  <si>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</si>
  <si>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</si>
  <si>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</si>
  <si>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</si>
  <si>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</si>
  <si>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</si>
  <si>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</si>
  <si>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</si>
  <si>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</si>
  <si>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</si>
  <si>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</si>
  <si>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</si>
  <si>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</si>
  <si>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</si>
  <si>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</si>
  <si>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</si>
  <si>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</si>
  <si>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</si>
  <si>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</si>
  <si>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</si>
  <si>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</si>
  <si>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</si>
  <si>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</si>
  <si>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</si>
  <si>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</si>
  <si>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</si>
  <si>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</si>
  <si>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</si>
  <si>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</si>
  <si>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</si>
  <si>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</si>
  <si>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</si>
  <si>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</si>
  <si>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</si>
  <si>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</si>
  <si>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</si>
  <si>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</si>
  <si>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</si>
  <si>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</si>
  <si>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</si>
  <si>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</si>
  <si>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</si>
  <si>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</si>
  <si>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</si>
  <si>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% EJECUTADO</t>
  </si>
  <si>
    <t>EJECUTADO ENERO A JUNIO</t>
  </si>
  <si>
    <t>% EJECUCION ACUMULADA</t>
  </si>
  <si>
    <t>BIENESTAR</t>
  </si>
  <si>
    <t>EJECUCIÓN TOTAL</t>
  </si>
  <si>
    <t>EJECUTADO AGOSTO</t>
  </si>
  <si>
    <t>EJECUTADO ENERO A AGOSTO</t>
  </si>
  <si>
    <t>EJECUCIÓN  POR SUBSISTEMAS EN AGOSTO  Y ACUMULADO DE ENERO A AGOSTO DE 2016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</si>
  <si>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</si>
  <si>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</si>
  <si>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</si>
  <si>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</si>
  <si>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</si>
  <si>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</si>
  <si>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</si>
  <si>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</si>
  <si>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</si>
  <si>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</si>
  <si>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</si>
  <si>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</si>
  <si>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</si>
  <si>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B. UNIVERSITARIO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</si>
</sst>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</numFmts>
  <fonts count="2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0" fontId="19" fillId="2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1" fillId="0" borderId="0"/>
  </cellStyleXfs>
  <cellXfs count="290">
    <xf numFmtId="0" fontId="0" fillId="0" borderId="0" xfId="0"/>
    <xf numFmtId="0" fontId="0" fillId="0" borderId="1" xfId="0" applyBorder="1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8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6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0" fontId="0" fillId="3" borderId="10" xfId="0" applyFill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/>
    </xf>
    <xf numFmtId="3" fontId="10" fillId="3" borderId="10" xfId="0" applyNumberFormat="1" applyFont="1" applyFill="1" applyBorder="1" applyAlignment="1">
      <alignment horizontal="right" vertical="center" wrapText="1"/>
    </xf>
    <xf numFmtId="3" fontId="12" fillId="0" borderId="10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0" fillId="3" borderId="0" xfId="0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8" fillId="0" borderId="0" xfId="0" applyFont="1"/>
    <xf numFmtId="3" fontId="12" fillId="3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9" fillId="7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vertical="center" wrapText="1"/>
    </xf>
    <xf numFmtId="0" fontId="8" fillId="7" borderId="16" xfId="0" applyFont="1" applyFill="1" applyBorder="1" applyAlignment="1">
      <alignment vertical="center" wrapText="1"/>
    </xf>
    <xf numFmtId="10" fontId="11" fillId="7" borderId="16" xfId="0" applyNumberFormat="1" applyFont="1" applyFill="1" applyBorder="1" applyAlignment="1">
      <alignment horizontal="center" vertical="center"/>
    </xf>
    <xf numFmtId="3" fontId="8" fillId="7" borderId="16" xfId="0" applyNumberFormat="1" applyFont="1" applyFill="1" applyBorder="1" applyAlignment="1">
      <alignment vertical="center" wrapText="1"/>
    </xf>
    <xf numFmtId="10" fontId="11" fillId="7" borderId="1" xfId="0" applyNumberFormat="1" applyFont="1" applyFill="1" applyBorder="1" applyAlignment="1">
      <alignment horizontal="center" vertical="center"/>
    </xf>
    <xf numFmtId="3" fontId="8" fillId="7" borderId="7" xfId="0" applyNumberFormat="1" applyFont="1" applyFill="1" applyBorder="1" applyAlignment="1">
      <alignment vertical="center" wrapText="1"/>
    </xf>
    <xf numFmtId="0" fontId="0" fillId="3" borderId="0" xfId="0" applyFill="1"/>
    <xf numFmtId="3" fontId="9" fillId="0" borderId="11" xfId="0" applyNumberFormat="1" applyFont="1" applyFill="1" applyBorder="1" applyAlignment="1">
      <alignment horizontal="center" vertical="center" wrapText="1"/>
    </xf>
    <xf numFmtId="3" fontId="10" fillId="3" borderId="11" xfId="0" applyNumberFormat="1" applyFont="1" applyFill="1" applyBorder="1" applyAlignment="1">
      <alignment horizontal="right" vertical="center" wrapText="1"/>
    </xf>
    <xf numFmtId="3" fontId="12" fillId="3" borderId="11" xfId="0" applyNumberFormat="1" applyFont="1" applyFill="1" applyBorder="1" applyAlignment="1">
      <alignment horizontal="right" vertical="center" wrapText="1"/>
    </xf>
    <xf numFmtId="3" fontId="12" fillId="0" borderId="11" xfId="0" applyNumberFormat="1" applyFont="1" applyFill="1" applyBorder="1" applyAlignment="1">
      <alignment horizontal="right" vertical="center" wrapText="1"/>
    </xf>
    <xf numFmtId="10" fontId="11" fillId="0" borderId="1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" fontId="0" fillId="0" borderId="0" xfId="0" applyNumberFormat="1"/>
    <xf numFmtId="0" fontId="8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0" fontId="0" fillId="0" borderId="0" xfId="0" applyFill="1"/>
    <xf numFmtId="10" fontId="11" fillId="0" borderId="1" xfId="0" applyNumberFormat="1" applyFont="1" applyFill="1" applyBorder="1" applyAlignment="1">
      <alignment horizontal="center" vertical="center"/>
    </xf>
    <xf numFmtId="0" fontId="0" fillId="7" borderId="1" xfId="0" applyFill="1" applyBorder="1" applyAlignment="1"/>
    <xf numFmtId="3" fontId="9" fillId="7" borderId="1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right" vertical="center" wrapText="1"/>
    </xf>
    <xf numFmtId="3" fontId="14" fillId="7" borderId="2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3" fontId="12" fillId="3" borderId="1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3" fontId="12" fillId="3" borderId="7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10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vertical="center" wrapText="1"/>
    </xf>
    <xf numFmtId="0" fontId="8" fillId="3" borderId="0" xfId="0" applyFont="1" applyFill="1" applyBorder="1"/>
    <xf numFmtId="0" fontId="8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2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8" fillId="0" borderId="0" xfId="0" applyFont="1" applyFill="1" applyAlignment="1">
      <alignment horizontal="right"/>
    </xf>
    <xf numFmtId="3" fontId="12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2" fillId="0" borderId="4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top" wrapText="1"/>
    </xf>
    <xf numFmtId="0" fontId="7" fillId="3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0" xfId="0" applyFill="1" applyBorder="1"/>
    <xf numFmtId="0" fontId="8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6" xfId="0" applyFill="1" applyBorder="1"/>
    <xf numFmtId="0" fontId="7" fillId="7" borderId="14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18" fillId="3" borderId="4" xfId="0" applyNumberFormat="1" applyFont="1" applyFill="1" applyBorder="1" applyAlignment="1">
      <alignment horizontal="right" vertical="center" wrapText="1"/>
    </xf>
    <xf numFmtId="3" fontId="18" fillId="3" borderId="11" xfId="0" applyNumberFormat="1" applyFont="1" applyFill="1" applyBorder="1" applyAlignment="1">
      <alignment horizontal="right" vertical="center" wrapText="1"/>
    </xf>
    <xf numFmtId="3" fontId="12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2" fillId="0" borderId="18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8" fillId="0" borderId="9" xfId="0" applyNumberFormat="1" applyFont="1" applyFill="1" applyBorder="1"/>
    <xf numFmtId="3" fontId="8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2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2" fillId="0" borderId="1" xfId="0" applyNumberFormat="1" applyFont="1" applyBorder="1" applyAlignment="1">
      <alignment vertical="center" wrapText="1"/>
    </xf>
    <xf numFmtId="164" fontId="12" fillId="0" borderId="8" xfId="0" applyNumberFormat="1" applyFont="1" applyBorder="1" applyAlignment="1">
      <alignment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3" fontId="12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3" fontId="0" fillId="0" borderId="1" xfId="0" applyNumberFormat="1" applyBorder="1"/>
    <xf numFmtId="3" fontId="12" fillId="0" borderId="1" xfId="0" applyNumberFormat="1" applyFont="1" applyBorder="1"/>
    <xf numFmtId="3" fontId="12" fillId="0" borderId="8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2" fillId="0" borderId="16" xfId="0" applyNumberFormat="1" applyFont="1" applyBorder="1"/>
    <xf numFmtId="3" fontId="12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2" fillId="0" borderId="15" xfId="0" applyNumberFormat="1" applyFont="1" applyBorder="1"/>
    <xf numFmtId="3" fontId="12" fillId="0" borderId="15" xfId="0" applyNumberFormat="1" applyFont="1" applyFill="1" applyBorder="1" applyAlignment="1">
      <alignment horizontal="right" vertical="center" wrapText="1"/>
    </xf>
    <xf numFmtId="10" fontId="8" fillId="3" borderId="16" xfId="0" applyNumberFormat="1" applyFont="1" applyFill="1" applyBorder="1" applyAlignment="1">
      <alignment horizontal="center" vertical="center"/>
    </xf>
    <xf numFmtId="3" fontId="12" fillId="0" borderId="16" xfId="0" applyNumberFormat="1" applyFont="1" applyFill="1" applyBorder="1" applyAlignment="1">
      <alignment horizontal="right" vertical="center" wrapText="1"/>
    </xf>
    <xf numFmtId="3" fontId="12" fillId="0" borderId="13" xfId="0" applyNumberFormat="1" applyFont="1" applyBorder="1"/>
    <xf numFmtId="10" fontId="11" fillId="0" borderId="16" xfId="0" applyNumberFormat="1" applyFont="1" applyBorder="1" applyAlignment="1">
      <alignment horizontal="center" vertical="center"/>
    </xf>
    <xf numFmtId="3" fontId="7" fillId="0" borderId="16" xfId="0" applyNumberFormat="1" applyFont="1" applyBorder="1"/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13" fillId="7" borderId="15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3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vertical="center"/>
    </xf>
    <xf numFmtId="0" fontId="2" fillId="0" borderId="4" xfId="0" applyFont="1" applyBorder="1" applyAlignment="1"/>
    <xf numFmtId="0" fontId="2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10" fontId="0" fillId="0" borderId="0" xfId="0" applyNumberFormat="1"/>
    <xf numFmtId="0" fontId="13" fillId="7" borderId="13" xfId="0" applyFont="1" applyFill="1" applyBorder="1" applyAlignment="1">
      <alignment horizontal="left" vertical="center" wrapText="1"/>
    </xf>
    <xf numFmtId="0" fontId="13" fillId="7" borderId="14" xfId="0" applyFont="1" applyFill="1" applyBorder="1" applyAlignment="1">
      <alignment horizontal="left" vertical="center" wrapText="1"/>
    </xf>
    <xf numFmtId="0" fontId="13" fillId="7" borderId="15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5" fillId="7" borderId="13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3" fontId="6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3" fontId="6" fillId="0" borderId="19" xfId="0" applyNumberFormat="1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3" fontId="23" fillId="3" borderId="1" xfId="0" applyNumberFormat="1" applyFont="1" applyFill="1" applyBorder="1" applyAlignment="1">
      <alignment vertical="center" wrapText="1"/>
    </xf>
    <xf numFmtId="3" fontId="0" fillId="0" borderId="1" xfId="0" applyNumberFormat="1" applyBorder="1" applyAlignment="1">
      <alignment horizontal="center"/>
    </xf>
    <xf numFmtId="3" fontId="11" fillId="3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3" fontId="23" fillId="3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0" fontId="0" fillId="0" borderId="7" xfId="0" applyBorder="1" applyAlignment="1">
      <alignment horizontal="center"/>
    </xf>
    <xf numFmtId="3" fontId="11" fillId="3" borderId="7" xfId="0" applyNumberFormat="1" applyFont="1" applyFill="1" applyBorder="1" applyAlignment="1">
      <alignment vertical="center" wrapText="1"/>
    </xf>
    <xf numFmtId="3" fontId="24" fillId="3" borderId="16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11" fillId="3" borderId="16" xfId="0" applyNumberFormat="1" applyFont="1" applyFill="1" applyBorder="1" applyAlignment="1">
      <alignment vertical="center" wrapText="1"/>
    </xf>
    <xf numFmtId="0" fontId="0" fillId="0" borderId="14" xfId="0" applyBorder="1"/>
    <xf numFmtId="10" fontId="0" fillId="0" borderId="1" xfId="0" applyNumberFormat="1" applyBorder="1" applyAlignment="1">
      <alignment horizontal="center"/>
    </xf>
    <xf numFmtId="0" fontId="22" fillId="3" borderId="0" xfId="0" applyFont="1" applyFill="1" applyBorder="1" applyAlignment="1">
      <alignment vertical="center"/>
    </xf>
    <xf numFmtId="0" fontId="22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/>
    <xf numFmtId="3" fontId="25" fillId="3" borderId="0" xfId="0" applyNumberFormat="1" applyFont="1" applyFill="1" applyBorder="1" applyAlignment="1">
      <alignment vertical="center" wrapText="1"/>
    </xf>
    <xf numFmtId="3" fontId="10" fillId="3" borderId="0" xfId="0" applyNumberFormat="1" applyFont="1" applyFill="1" applyBorder="1" applyAlignment="1">
      <alignment vertical="center" wrapText="1"/>
    </xf>
    <xf numFmtId="10" fontId="8" fillId="3" borderId="0" xfId="0" applyNumberFormat="1" applyFont="1" applyFill="1" applyBorder="1"/>
    <xf numFmtId="0" fontId="8" fillId="3" borderId="0" xfId="0" applyFont="1" applyFill="1" applyBorder="1" applyAlignment="1">
      <alignment horizontal="center"/>
    </xf>
    <xf numFmtId="0" fontId="22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 vertical="center"/>
    </xf>
    <xf numFmtId="10" fontId="8" fillId="3" borderId="0" xfId="0" applyNumberFormat="1" applyFont="1" applyFill="1" applyBorder="1" applyAlignment="1">
      <alignment vertical="center"/>
    </xf>
    <xf numFmtId="0" fontId="8" fillId="3" borderId="8" xfId="0" applyFont="1" applyFill="1" applyBorder="1" applyAlignment="1">
      <alignment horizontal="right" vertical="center"/>
    </xf>
    <xf numFmtId="0" fontId="8" fillId="3" borderId="9" xfId="0" applyFont="1" applyFill="1" applyBorder="1" applyAlignment="1">
      <alignment horizontal="right" vertical="center"/>
    </xf>
    <xf numFmtId="0" fontId="8" fillId="3" borderId="10" xfId="0" applyFont="1" applyFill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22" fillId="0" borderId="9" xfId="0" applyFont="1" applyBorder="1" applyAlignment="1">
      <alignment horizontal="right" vertical="center"/>
    </xf>
    <xf numFmtId="0" fontId="22" fillId="0" borderId="10" xfId="0" applyFont="1" applyBorder="1" applyAlignment="1">
      <alignment horizontal="right" vertic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en-US" sz="1600"/>
              <a:t>EJECUCION PLAN DE ACCION POR SUBSISTEMAS A 31 DE AGOSTO DE 2016</a:t>
            </a:r>
          </a:p>
        </c:rich>
      </c:tx>
      <c:layout>
        <c:manualLayout>
          <c:xMode val="edge"/>
          <c:yMode val="edge"/>
          <c:x val="0.1221744375602135"/>
          <c:y val="2.4822736621550157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7081133157601798E-2"/>
          <c:y val="0.20879858513193467"/>
          <c:w val="0.909578611607887"/>
          <c:h val="0.4902948405006541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ACCION AGOSTO CONSOLIDADO'!$DM$3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787585217079295E-2"/>
                  <c:y val="-2.4822736621550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5880875493362038E-2"/>
                  <c:y val="-3.54610523165002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445640473627553E-2"/>
                  <c:y val="-5.3191857695634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4352350197344816E-2"/>
                  <c:y val="3.54610523165002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5927520631503412E-2"/>
                  <c:y val="4.60993680114502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AGOSTO CONSOLIDADO'!$DK$4:$DL$128</c:f>
              <c:strCache>
                <c:ptCount val="6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'P. ACCION AGOSTO CONSOLIDADO'!$DM$4:$DM$128</c:f>
              <c:numCache>
                <c:formatCode>#,##0</c:formatCode>
                <c:ptCount val="6"/>
                <c:pt idx="0">
                  <c:v>1437480977</c:v>
                </c:pt>
                <c:pt idx="1">
                  <c:v>5225565856</c:v>
                </c:pt>
                <c:pt idx="2">
                  <c:v>1683497241</c:v>
                </c:pt>
                <c:pt idx="4">
                  <c:v>2606465655</c:v>
                </c:pt>
                <c:pt idx="5">
                  <c:v>11761361275</c:v>
                </c:pt>
              </c:numCache>
            </c:numRef>
          </c:val>
        </c:ser>
        <c:ser>
          <c:idx val="1"/>
          <c:order val="1"/>
          <c:tx>
            <c:strRef>
              <c:f>'P. ACCION AGOSTO CONSOLIDADO'!$DN$3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0139822403792638E-2"/>
                  <c:y val="-3.54610523165002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26946537495515E-2"/>
                  <c:y val="-3.5461052316499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751232522199523E-2"/>
                  <c:y val="-7.09276890506880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5927520631503412E-2"/>
                  <c:y val="-1.77305261582501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7316110513096516E-2"/>
                  <c:y val="-3.54610523165002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AGOSTO CONSOLIDADO'!$DK$4:$DL$128</c:f>
              <c:strCache>
                <c:ptCount val="6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'P. ACCION AGOSTO CONSOLIDADO'!$DN$4:$DN$128</c:f>
              <c:numCache>
                <c:formatCode>#,##0</c:formatCode>
                <c:ptCount val="6"/>
                <c:pt idx="0">
                  <c:v>762677261</c:v>
                </c:pt>
                <c:pt idx="1">
                  <c:v>3072278854</c:v>
                </c:pt>
                <c:pt idx="2">
                  <c:v>1240222021</c:v>
                </c:pt>
                <c:pt idx="4">
                  <c:v>2167130956</c:v>
                </c:pt>
                <c:pt idx="5">
                  <c:v>5164098953</c:v>
                </c:pt>
              </c:numCache>
            </c:numRef>
          </c:val>
        </c:ser>
        <c:ser>
          <c:idx val="2"/>
          <c:order val="2"/>
          <c:tx>
            <c:strRef>
              <c:f>'P. ACCION AGOSTO CONSOLIDADO'!$DO$3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704700394689631E-2"/>
                  <c:y val="2.12766313899001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269465374955098E-2"/>
                  <c:y val="7.09221046330004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139935414424113E-2"/>
                  <c:y val="3.54610523165002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65805525654825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301040545389318E-2"/>
                  <c:y val="-1.0638315694950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AGOSTO CONSOLIDADO'!$DK$4:$DL$128</c:f>
              <c:strCache>
                <c:ptCount val="6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4">
                  <c:v>S. BIENESTAR UNIVERSITARIO</c:v>
                </c:pt>
                <c:pt idx="5">
                  <c:v>S. ADMINISTRATIVO</c:v>
                </c:pt>
              </c:strCache>
            </c:strRef>
          </c:cat>
          <c:val>
            <c:numRef>
              <c:f>'P. ACCION AGOSTO CONSOLIDADO'!$DO$4:$DO$128</c:f>
              <c:numCache>
                <c:formatCode>0.00%</c:formatCode>
                <c:ptCount val="6"/>
                <c:pt idx="0">
                  <c:v>0.53056511578448529</c:v>
                </c:pt>
                <c:pt idx="1">
                  <c:v>0.58793228114662577</c:v>
                </c:pt>
                <c:pt idx="2">
                  <c:v>0.73669382449555199</c:v>
                </c:pt>
                <c:pt idx="4">
                  <c:v>0.83144427851668734</c:v>
                </c:pt>
                <c:pt idx="5">
                  <c:v>0.43907323584871344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4617472"/>
        <c:axId val="66966656"/>
        <c:axId val="0"/>
      </c:bar3DChart>
      <c:catAx>
        <c:axId val="64617472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66966656"/>
        <c:crosses val="autoZero"/>
        <c:auto val="1"/>
        <c:lblAlgn val="ctr"/>
        <c:lblOffset val="100"/>
        <c:noMultiLvlLbl val="0"/>
      </c:catAx>
      <c:valAx>
        <c:axId val="6696665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461747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1567248388892183"/>
          <c:y val="0.83568158097098499"/>
          <c:w val="0.31061175480083286"/>
          <c:h val="6.412391376095454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EJECUCION</a:t>
            </a:r>
            <a:r>
              <a:rPr lang="es-CO" sz="1400" baseline="0"/>
              <a:t> PLAN DE ACCION POR RUBRO PRESUPUESTAL A 31 DE AGOSTO DE 2016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ACCION AGOSTO CONSOLIDADO'!$DM$132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777544596012592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4564533053515239E-2"/>
                  <c:y val="5.9574468085106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19727177334732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0160895417978311E-2"/>
                  <c:y val="3.40425531914893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AGOSTO CONSOLIDADO'!$DK$133:$DL$140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AGOSTO CONSOLIDADO'!$DM$133:$DM$140</c:f>
              <c:numCache>
                <c:formatCode>#,##0</c:formatCode>
                <c:ptCount val="8"/>
                <c:pt idx="0">
                  <c:v>4089098901</c:v>
                </c:pt>
                <c:pt idx="1">
                  <c:v>3820094278</c:v>
                </c:pt>
                <c:pt idx="2">
                  <c:v>1084368096</c:v>
                </c:pt>
                <c:pt idx="3">
                  <c:v>5225565856</c:v>
                </c:pt>
                <c:pt idx="4">
                  <c:v>1020280977</c:v>
                </c:pt>
                <c:pt idx="5">
                  <c:v>1683497241</c:v>
                </c:pt>
                <c:pt idx="6">
                  <c:v>3185000000</c:v>
                </c:pt>
                <c:pt idx="7">
                  <c:v>2606465655</c:v>
                </c:pt>
              </c:numCache>
            </c:numRef>
          </c:val>
        </c:ser>
        <c:ser>
          <c:idx val="1"/>
          <c:order val="1"/>
          <c:tx>
            <c:strRef>
              <c:f>'P. ACCION AGOSTO CONSOLIDADO'!$DN$132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5827212311997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197271773347326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380902413431269E-2"/>
                  <c:y val="2.8368794326241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775445960125921E-2"/>
                  <c:y val="-8.51063829787234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977264777894368E-2"/>
                  <c:y val="1.4184397163120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9174536551241694E-2"/>
                  <c:y val="1.1347517730496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3578174186778595E-2"/>
                  <c:y val="1.4184397163120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45645330535152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AGOSTO CONSOLIDADO'!$DK$133:$DL$140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AGOSTO CONSOLIDADO'!$DN$133:$DN$140</c:f>
              <c:numCache>
                <c:formatCode>#,##0</c:formatCode>
                <c:ptCount val="8"/>
                <c:pt idx="0">
                  <c:v>2104336819</c:v>
                </c:pt>
                <c:pt idx="1">
                  <c:v>1705911641</c:v>
                </c:pt>
                <c:pt idx="2">
                  <c:v>402807788</c:v>
                </c:pt>
                <c:pt idx="3">
                  <c:v>3072278854</c:v>
                </c:pt>
                <c:pt idx="4">
                  <c:v>811920550</c:v>
                </c:pt>
                <c:pt idx="5">
                  <c:v>1240222021</c:v>
                </c:pt>
                <c:pt idx="6">
                  <c:v>901799416</c:v>
                </c:pt>
                <c:pt idx="7">
                  <c:v>2167130956</c:v>
                </c:pt>
              </c:numCache>
            </c:numRef>
          </c:val>
        </c:ser>
        <c:ser>
          <c:idx val="2"/>
          <c:order val="2"/>
          <c:tx>
            <c:strRef>
              <c:f>'P. ACCION AGOSTO CONSOLIDADO'!$DO$132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98635886673662E-2"/>
                  <c:y val="2.8368794326241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188177684505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582721231199667E-2"/>
                  <c:y val="8.51063829787234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098635886673662E-2"/>
                  <c:y val="2.8368794326241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3854494578523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23854494578523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5183630640083946E-2"/>
                  <c:y val="2.8368794326241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9380902413431269E-2"/>
                  <c:y val="8.51063829787234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ACCION AGOSTO CONSOLIDADO'!$DK$133:$DL$140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B. UNIVERSITARIO</c:v>
                </c:pt>
              </c:strCache>
            </c:strRef>
          </c:cat>
          <c:val>
            <c:numRef>
              <c:f>'P. ACCION AGOSTO CONSOLIDADO'!$DO$133:$DO$140</c:f>
              <c:numCache>
                <c:formatCode>0.00%</c:formatCode>
                <c:ptCount val="8"/>
                <c:pt idx="0">
                  <c:v>0.5146211598074526</c:v>
                </c:pt>
                <c:pt idx="1">
                  <c:v>0.44656270679610699</c:v>
                </c:pt>
                <c:pt idx="2">
                  <c:v>0.3714677603351399</c:v>
                </c:pt>
                <c:pt idx="3">
                  <c:v>0.58793228114662577</c:v>
                </c:pt>
                <c:pt idx="4">
                  <c:v>0.79578132720590755</c:v>
                </c:pt>
                <c:pt idx="5">
                  <c:v>0.73669382449555199</c:v>
                </c:pt>
                <c:pt idx="6">
                  <c:v>0.28313953406593406</c:v>
                </c:pt>
                <c:pt idx="7">
                  <c:v>0.83144427851668734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37842048"/>
        <c:axId val="138681344"/>
        <c:axId val="0"/>
      </c:bar3DChart>
      <c:catAx>
        <c:axId val="137842048"/>
        <c:scaling>
          <c:orientation val="minMax"/>
        </c:scaling>
        <c:delete val="0"/>
        <c:axPos val="b"/>
        <c:majorTickMark val="none"/>
        <c:minorTickMark val="none"/>
        <c:tickLblPos val="nextTo"/>
        <c:crossAx val="138681344"/>
        <c:crosses val="autoZero"/>
        <c:auto val="1"/>
        <c:lblAlgn val="ctr"/>
        <c:lblOffset val="100"/>
        <c:noMultiLvlLbl val="0"/>
      </c:catAx>
      <c:valAx>
        <c:axId val="13868134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3784204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4860523336996307"/>
          <c:y val="0.13075177304964539"/>
          <c:w val="0.30278942309546042"/>
          <c:h val="1.158273300943764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66674</xdr:colOff>
      <xdr:row>153</xdr:row>
      <xdr:rowOff>57156</xdr:rowOff>
    </xdr:from>
    <xdr:to>
      <xdr:col>113</xdr:col>
      <xdr:colOff>200024</xdr:colOff>
      <xdr:row>172</xdr:row>
      <xdr:rowOff>19050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4133850</xdr:colOff>
      <xdr:row>175</xdr:row>
      <xdr:rowOff>180975</xdr:rowOff>
    </xdr:from>
    <xdr:to>
      <xdr:col>114</xdr:col>
      <xdr:colOff>9525</xdr:colOff>
      <xdr:row>199</xdr:row>
      <xdr:rowOff>85725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GOSTO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LI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6"/>
    </sheetNames>
    <sheetDataSet>
      <sheetData sheetId="0">
        <row r="16">
          <cell r="H16">
            <v>1253696459</v>
          </cell>
        </row>
        <row r="18">
          <cell r="M18">
            <v>1339144887</v>
          </cell>
          <cell r="AG18">
            <v>1679216</v>
          </cell>
        </row>
        <row r="29">
          <cell r="H29">
            <v>1679216</v>
          </cell>
        </row>
        <row r="34">
          <cell r="M34">
            <v>982960403</v>
          </cell>
          <cell r="AG34">
            <v>12993651</v>
          </cell>
        </row>
        <row r="36">
          <cell r="H36">
            <v>86271560</v>
          </cell>
        </row>
        <row r="39">
          <cell r="H39">
            <v>21445252</v>
          </cell>
        </row>
        <row r="41">
          <cell r="H41">
            <v>50290520</v>
          </cell>
        </row>
        <row r="44">
          <cell r="H44">
            <v>9145660</v>
          </cell>
        </row>
        <row r="46">
          <cell r="H46">
            <v>75866675</v>
          </cell>
        </row>
        <row r="49">
          <cell r="H49">
            <v>19621130</v>
          </cell>
        </row>
        <row r="51">
          <cell r="H51">
            <v>92605321</v>
          </cell>
        </row>
        <row r="53">
          <cell r="H53">
            <v>33395815</v>
          </cell>
        </row>
        <row r="55">
          <cell r="H55">
            <v>10064700</v>
          </cell>
        </row>
        <row r="57">
          <cell r="H57">
            <v>2338000</v>
          </cell>
        </row>
        <row r="59">
          <cell r="H59">
            <v>138162268</v>
          </cell>
        </row>
        <row r="63">
          <cell r="H63">
            <v>392000</v>
          </cell>
        </row>
        <row r="64">
          <cell r="H64">
            <v>5970000</v>
          </cell>
        </row>
        <row r="66">
          <cell r="H66">
            <v>135701673</v>
          </cell>
        </row>
        <row r="68">
          <cell r="H68">
            <v>717100</v>
          </cell>
        </row>
        <row r="71">
          <cell r="H71">
            <v>2581000</v>
          </cell>
        </row>
        <row r="74">
          <cell r="H74">
            <v>39871320</v>
          </cell>
        </row>
        <row r="77">
          <cell r="H77">
            <v>799001</v>
          </cell>
        </row>
        <row r="78">
          <cell r="H78">
            <v>196450</v>
          </cell>
        </row>
        <row r="99">
          <cell r="M99">
            <v>1225873755</v>
          </cell>
        </row>
        <row r="100">
          <cell r="H100">
            <v>299045680</v>
          </cell>
        </row>
        <row r="103">
          <cell r="H103">
            <v>50843120</v>
          </cell>
        </row>
        <row r="107">
          <cell r="H107">
            <v>88746867</v>
          </cell>
        </row>
        <row r="109">
          <cell r="H109">
            <v>63336000</v>
          </cell>
        </row>
        <row r="111">
          <cell r="H111">
            <v>2780000</v>
          </cell>
        </row>
        <row r="113">
          <cell r="H113">
            <v>1183200</v>
          </cell>
        </row>
        <row r="114">
          <cell r="H114">
            <v>83930524</v>
          </cell>
        </row>
        <row r="120">
          <cell r="H120">
            <v>20532000</v>
          </cell>
        </row>
        <row r="124">
          <cell r="H124">
            <v>90542640</v>
          </cell>
        </row>
        <row r="126">
          <cell r="H126">
            <v>4605084</v>
          </cell>
        </row>
        <row r="128">
          <cell r="H128">
            <v>37459764</v>
          </cell>
        </row>
        <row r="130">
          <cell r="H130">
            <v>17734580</v>
          </cell>
        </row>
        <row r="132">
          <cell r="H132">
            <v>3178284</v>
          </cell>
        </row>
        <row r="135">
          <cell r="H135">
            <v>30718416</v>
          </cell>
        </row>
        <row r="139">
          <cell r="H139">
            <v>1930216</v>
          </cell>
        </row>
        <row r="141">
          <cell r="H141">
            <v>17170436</v>
          </cell>
        </row>
        <row r="146">
          <cell r="H146">
            <v>152707152</v>
          </cell>
        </row>
        <row r="148">
          <cell r="M148">
            <v>165779349</v>
          </cell>
        </row>
        <row r="175">
          <cell r="M175">
            <v>297552303</v>
          </cell>
        </row>
        <row r="182">
          <cell r="H182">
            <v>142119169</v>
          </cell>
        </row>
        <row r="184">
          <cell r="M184">
            <v>299974318</v>
          </cell>
          <cell r="AG184">
            <v>71310865</v>
          </cell>
        </row>
        <row r="187">
          <cell r="H187">
            <v>17103000</v>
          </cell>
        </row>
        <row r="189">
          <cell r="H189">
            <v>7221000</v>
          </cell>
        </row>
        <row r="195">
          <cell r="H195">
            <v>2210000</v>
          </cell>
        </row>
        <row r="197">
          <cell r="H197">
            <v>35541154</v>
          </cell>
        </row>
        <row r="229">
          <cell r="H229">
            <v>5480888</v>
          </cell>
        </row>
        <row r="231">
          <cell r="AG231">
            <v>5499870</v>
          </cell>
        </row>
        <row r="247">
          <cell r="H247">
            <v>217325629</v>
          </cell>
        </row>
        <row r="249">
          <cell r="M249">
            <v>254840029</v>
          </cell>
        </row>
        <row r="337">
          <cell r="H337">
            <v>183607691</v>
          </cell>
        </row>
        <row r="339">
          <cell r="M339">
            <v>68550197</v>
          </cell>
          <cell r="O339">
            <v>95047311</v>
          </cell>
          <cell r="AG339">
            <v>20503347</v>
          </cell>
        </row>
        <row r="408">
          <cell r="H408">
            <v>2183738</v>
          </cell>
        </row>
        <row r="434">
          <cell r="H434">
            <v>1652640</v>
          </cell>
        </row>
        <row r="438">
          <cell r="H438">
            <v>500000</v>
          </cell>
        </row>
        <row r="441">
          <cell r="H441">
            <v>1740000</v>
          </cell>
        </row>
        <row r="449">
          <cell r="H449">
            <v>963495</v>
          </cell>
        </row>
        <row r="457">
          <cell r="H457">
            <v>919964</v>
          </cell>
        </row>
        <row r="459">
          <cell r="H459">
            <v>2595000</v>
          </cell>
        </row>
        <row r="466">
          <cell r="H466">
            <v>889800</v>
          </cell>
        </row>
        <row r="467">
          <cell r="H467">
            <v>2640000</v>
          </cell>
        </row>
        <row r="472">
          <cell r="H472">
            <v>889800</v>
          </cell>
        </row>
        <row r="490">
          <cell r="H490">
            <v>437500</v>
          </cell>
        </row>
        <row r="492">
          <cell r="H492">
            <v>1288341</v>
          </cell>
        </row>
        <row r="493">
          <cell r="H493">
            <v>1280068</v>
          </cell>
        </row>
        <row r="506">
          <cell r="H506">
            <v>916000</v>
          </cell>
        </row>
        <row r="521">
          <cell r="H521">
            <v>1113837</v>
          </cell>
        </row>
        <row r="531">
          <cell r="H531">
            <v>12792700</v>
          </cell>
        </row>
        <row r="542">
          <cell r="M542">
            <v>3000000</v>
          </cell>
        </row>
        <row r="546">
          <cell r="H546">
            <v>7800000</v>
          </cell>
        </row>
        <row r="554">
          <cell r="H554">
            <v>82930503</v>
          </cell>
        </row>
        <row r="556">
          <cell r="AG556">
            <v>4586738</v>
          </cell>
        </row>
        <row r="606">
          <cell r="AG606">
            <v>870000</v>
          </cell>
        </row>
        <row r="615">
          <cell r="H615">
            <v>1858369</v>
          </cell>
        </row>
        <row r="616">
          <cell r="H616">
            <v>1858369</v>
          </cell>
        </row>
        <row r="625">
          <cell r="H625">
            <v>27560818</v>
          </cell>
        </row>
        <row r="627">
          <cell r="Z627">
            <v>78057863</v>
          </cell>
        </row>
        <row r="648">
          <cell r="H648">
            <v>54642537</v>
          </cell>
        </row>
        <row r="665">
          <cell r="G665">
            <v>29398236</v>
          </cell>
          <cell r="H665">
            <v>29265411</v>
          </cell>
        </row>
        <row r="678">
          <cell r="H678">
            <v>20924262</v>
          </cell>
        </row>
        <row r="680">
          <cell r="Z680">
            <v>2000000</v>
          </cell>
          <cell r="AG680">
            <v>19925262</v>
          </cell>
        </row>
        <row r="714">
          <cell r="H714">
            <v>56558466</v>
          </cell>
        </row>
        <row r="744">
          <cell r="H744">
            <v>19963438</v>
          </cell>
        </row>
        <row r="753">
          <cell r="H753">
            <v>313303269</v>
          </cell>
        </row>
        <row r="755">
          <cell r="Z755">
            <v>316735484</v>
          </cell>
        </row>
        <row r="810">
          <cell r="H810">
            <v>174755567</v>
          </cell>
        </row>
        <row r="812">
          <cell r="Z812">
            <v>170043102</v>
          </cell>
          <cell r="AG812">
            <v>6125485</v>
          </cell>
        </row>
        <row r="830">
          <cell r="H830">
            <v>700000</v>
          </cell>
        </row>
        <row r="831">
          <cell r="H831">
            <v>2000000</v>
          </cell>
        </row>
        <row r="840">
          <cell r="H840">
            <v>1000000</v>
          </cell>
        </row>
        <row r="850">
          <cell r="H850">
            <v>906480</v>
          </cell>
        </row>
        <row r="864">
          <cell r="H864">
            <v>1425485</v>
          </cell>
        </row>
        <row r="881">
          <cell r="H881">
            <v>198408143</v>
          </cell>
        </row>
        <row r="899">
          <cell r="H899">
            <v>19189124</v>
          </cell>
        </row>
        <row r="904">
          <cell r="H904">
            <v>79999646</v>
          </cell>
        </row>
        <row r="939">
          <cell r="H939">
            <v>47258973</v>
          </cell>
        </row>
        <row r="941">
          <cell r="Y941">
            <v>47258973</v>
          </cell>
        </row>
        <row r="960">
          <cell r="H960">
            <v>128482252</v>
          </cell>
        </row>
        <row r="962">
          <cell r="M962">
            <v>449538252</v>
          </cell>
        </row>
        <row r="976">
          <cell r="H976">
            <v>59206490</v>
          </cell>
        </row>
        <row r="978">
          <cell r="M978">
            <v>133321510</v>
          </cell>
        </row>
        <row r="991">
          <cell r="H991">
            <v>294885132</v>
          </cell>
        </row>
        <row r="993">
          <cell r="M993">
            <v>600000000</v>
          </cell>
        </row>
        <row r="1055">
          <cell r="H1055">
            <v>17620000</v>
          </cell>
        </row>
        <row r="1068">
          <cell r="Y1068">
            <v>97398441</v>
          </cell>
        </row>
        <row r="1142">
          <cell r="AG1142">
            <v>11999998</v>
          </cell>
        </row>
        <row r="1161">
          <cell r="AA1161">
            <v>51295383</v>
          </cell>
        </row>
        <row r="1162">
          <cell r="H1162">
            <v>52548061</v>
          </cell>
        </row>
        <row r="1177">
          <cell r="H1177">
            <v>40869452</v>
          </cell>
        </row>
        <row r="1191">
          <cell r="H1191">
            <v>3266950</v>
          </cell>
        </row>
        <row r="1197">
          <cell r="H1197">
            <v>23385141</v>
          </cell>
        </row>
        <row r="1199">
          <cell r="Y1199">
            <v>25119249</v>
          </cell>
        </row>
        <row r="1229">
          <cell r="H1229">
            <v>14716928</v>
          </cell>
        </row>
        <row r="1231">
          <cell r="Y1231">
            <v>16217208</v>
          </cell>
          <cell r="AG1231">
            <v>900000</v>
          </cell>
        </row>
        <row r="1264">
          <cell r="Y1264">
            <v>34794000</v>
          </cell>
        </row>
        <row r="1298">
          <cell r="H1298">
            <v>172987729</v>
          </cell>
        </row>
        <row r="1300">
          <cell r="W1300">
            <v>196954729</v>
          </cell>
        </row>
        <row r="1384">
          <cell r="Y1384">
            <v>61816077</v>
          </cell>
          <cell r="AG1384">
            <v>21499227</v>
          </cell>
        </row>
        <row r="1457">
          <cell r="H1457">
            <v>1085446388</v>
          </cell>
        </row>
        <row r="1459">
          <cell r="V1459">
            <v>1763057320</v>
          </cell>
        </row>
        <row r="1918">
          <cell r="H1918">
            <v>71113871</v>
          </cell>
        </row>
        <row r="1965">
          <cell r="Y1965">
            <v>19997612</v>
          </cell>
        </row>
        <row r="1980">
          <cell r="AF1980">
            <v>104741836</v>
          </cell>
        </row>
        <row r="1989">
          <cell r="H1989">
            <v>30000000</v>
          </cell>
        </row>
        <row r="2000">
          <cell r="M2000">
            <v>21264791</v>
          </cell>
          <cell r="Y2000">
            <v>61195755</v>
          </cell>
        </row>
        <row r="2001">
          <cell r="H2001">
            <v>47962167</v>
          </cell>
        </row>
        <row r="2008">
          <cell r="H2008">
            <v>10950000</v>
          </cell>
        </row>
        <row r="2011">
          <cell r="H2011">
            <v>245755</v>
          </cell>
        </row>
        <row r="2026">
          <cell r="H2026">
            <v>38751272</v>
          </cell>
        </row>
        <row r="2028">
          <cell r="AG2028">
            <v>12000000</v>
          </cell>
        </row>
        <row r="2102">
          <cell r="M2102">
            <v>11831904</v>
          </cell>
        </row>
        <row r="2179">
          <cell r="P2179">
            <v>43061377</v>
          </cell>
        </row>
        <row r="2180">
          <cell r="H2180">
            <v>3686675</v>
          </cell>
        </row>
        <row r="2183">
          <cell r="H2183">
            <v>1116667</v>
          </cell>
        </row>
        <row r="2185">
          <cell r="H2185">
            <v>7362012</v>
          </cell>
        </row>
        <row r="2187">
          <cell r="H2187">
            <v>126000</v>
          </cell>
        </row>
        <row r="2190">
          <cell r="H2190">
            <v>1000000</v>
          </cell>
        </row>
        <row r="2191">
          <cell r="H2191">
            <v>413674</v>
          </cell>
        </row>
        <row r="2216">
          <cell r="H2216">
            <v>22126338</v>
          </cell>
        </row>
        <row r="2237">
          <cell r="AG2237">
            <v>5201565</v>
          </cell>
        </row>
        <row r="2238">
          <cell r="H2238">
            <v>21089997</v>
          </cell>
        </row>
        <row r="2240">
          <cell r="H2240">
            <v>482610</v>
          </cell>
        </row>
        <row r="2242">
          <cell r="H2242">
            <v>1145842</v>
          </cell>
        </row>
        <row r="2244">
          <cell r="H2244">
            <v>14910001</v>
          </cell>
        </row>
        <row r="2246">
          <cell r="H2246">
            <v>180655</v>
          </cell>
        </row>
        <row r="2247">
          <cell r="H2247">
            <v>1200000</v>
          </cell>
        </row>
        <row r="2248">
          <cell r="H2248">
            <v>685092</v>
          </cell>
        </row>
        <row r="2249">
          <cell r="H2249">
            <v>462728</v>
          </cell>
        </row>
        <row r="2250">
          <cell r="H2250">
            <v>685092</v>
          </cell>
        </row>
        <row r="2251">
          <cell r="H2251">
            <v>357981</v>
          </cell>
        </row>
        <row r="2261">
          <cell r="H2261">
            <v>3788968</v>
          </cell>
        </row>
        <row r="2263">
          <cell r="AG2263">
            <v>4876315</v>
          </cell>
        </row>
        <row r="2273">
          <cell r="AG2273">
            <v>69764550</v>
          </cell>
        </row>
        <row r="2274">
          <cell r="H2274">
            <v>20900000</v>
          </cell>
        </row>
        <row r="2276">
          <cell r="H2276">
            <v>20900000</v>
          </cell>
        </row>
        <row r="2278">
          <cell r="H2278">
            <v>26400007</v>
          </cell>
        </row>
        <row r="2280">
          <cell r="H2280">
            <v>14980000</v>
          </cell>
        </row>
        <row r="2282">
          <cell r="H2282">
            <v>13000000</v>
          </cell>
        </row>
        <row r="2286">
          <cell r="H2286">
            <v>1218300</v>
          </cell>
        </row>
        <row r="2288">
          <cell r="H2288">
            <v>274000</v>
          </cell>
        </row>
        <row r="2290">
          <cell r="H2290">
            <v>9557058</v>
          </cell>
        </row>
        <row r="2293">
          <cell r="H2293">
            <v>2600000</v>
          </cell>
        </row>
        <row r="2297">
          <cell r="H2297">
            <v>4800000</v>
          </cell>
        </row>
        <row r="2299">
          <cell r="H2299">
            <v>3600000</v>
          </cell>
        </row>
        <row r="2301">
          <cell r="H2301">
            <v>196751</v>
          </cell>
        </row>
        <row r="2302">
          <cell r="H2302">
            <v>57887553</v>
          </cell>
        </row>
        <row r="2319">
          <cell r="H2319">
            <v>634000</v>
          </cell>
        </row>
        <row r="2320">
          <cell r="H2320">
            <v>6090000</v>
          </cell>
        </row>
        <row r="2322">
          <cell r="H2322">
            <v>5098964</v>
          </cell>
        </row>
        <row r="2328">
          <cell r="H2328">
            <v>2985000</v>
          </cell>
        </row>
        <row r="2331">
          <cell r="H2331">
            <v>109249</v>
          </cell>
        </row>
        <row r="2332">
          <cell r="H2332">
            <v>730000</v>
          </cell>
        </row>
        <row r="2333">
          <cell r="H2333">
            <v>15000000</v>
          </cell>
        </row>
        <row r="2338">
          <cell r="H2338">
            <v>54607297</v>
          </cell>
        </row>
        <row r="2340">
          <cell r="O2340">
            <v>58857711</v>
          </cell>
        </row>
        <row r="2378">
          <cell r="H2378">
            <v>24728230</v>
          </cell>
        </row>
        <row r="2380">
          <cell r="W2380">
            <v>23188762</v>
          </cell>
        </row>
        <row r="2416">
          <cell r="H2416">
            <v>34730190</v>
          </cell>
        </row>
        <row r="2418">
          <cell r="O2418">
            <v>37235476</v>
          </cell>
          <cell r="AG2418">
            <v>21000000</v>
          </cell>
        </row>
        <row r="2440">
          <cell r="H2440">
            <v>82224209</v>
          </cell>
        </row>
        <row r="2531">
          <cell r="P2531">
            <v>49214507</v>
          </cell>
          <cell r="AG2531">
            <v>47771030</v>
          </cell>
        </row>
        <row r="2652">
          <cell r="H2652">
            <v>280955828</v>
          </cell>
        </row>
        <row r="2654">
          <cell r="O2654">
            <v>111857093</v>
          </cell>
          <cell r="V2654">
            <v>187101991</v>
          </cell>
        </row>
        <row r="2666">
          <cell r="H2666">
            <v>58318855</v>
          </cell>
        </row>
        <row r="2677">
          <cell r="H2677">
            <v>71339359</v>
          </cell>
        </row>
        <row r="2704">
          <cell r="H2704">
            <v>2392400</v>
          </cell>
        </row>
        <row r="2707">
          <cell r="H2707">
            <v>2170000</v>
          </cell>
        </row>
        <row r="2723">
          <cell r="H2723">
            <v>1675000</v>
          </cell>
        </row>
        <row r="2724">
          <cell r="H2724">
            <v>500000</v>
          </cell>
        </row>
        <row r="2726">
          <cell r="H2726">
            <v>1200000</v>
          </cell>
        </row>
        <row r="2727">
          <cell r="H2727">
            <v>15000000</v>
          </cell>
        </row>
        <row r="2728">
          <cell r="H2728">
            <v>29000000</v>
          </cell>
        </row>
        <row r="2736">
          <cell r="H2736">
            <v>3780000</v>
          </cell>
        </row>
        <row r="2792">
          <cell r="G2792">
            <v>391425444</v>
          </cell>
          <cell r="H2792">
            <v>383464050</v>
          </cell>
        </row>
        <row r="2917">
          <cell r="G2917">
            <v>17970750</v>
          </cell>
        </row>
        <row r="2945">
          <cell r="H2945">
            <v>3708435</v>
          </cell>
        </row>
        <row r="2947">
          <cell r="O2947">
            <v>3708435</v>
          </cell>
        </row>
        <row r="2973">
          <cell r="W2973">
            <v>4600000</v>
          </cell>
        </row>
        <row r="2978">
          <cell r="H2978">
            <v>4592624</v>
          </cell>
        </row>
        <row r="2993">
          <cell r="W2993">
            <v>4612759</v>
          </cell>
        </row>
        <row r="3026">
          <cell r="H3026">
            <v>14820027</v>
          </cell>
        </row>
        <row r="3040">
          <cell r="O3040">
            <v>11100000</v>
          </cell>
        </row>
        <row r="3047">
          <cell r="W3047">
            <v>235000000</v>
          </cell>
        </row>
        <row r="3048">
          <cell r="H3048">
            <v>33050686</v>
          </cell>
        </row>
        <row r="3053">
          <cell r="H3053">
            <v>20000000</v>
          </cell>
        </row>
        <row r="3056">
          <cell r="H3056">
            <v>201917457</v>
          </cell>
        </row>
        <row r="3094">
          <cell r="G3094">
            <v>36518333</v>
          </cell>
          <cell r="H3094">
            <v>830000</v>
          </cell>
        </row>
        <row r="3113">
          <cell r="H3113">
            <v>429051059</v>
          </cell>
        </row>
        <row r="3122">
          <cell r="H3122">
            <v>472748357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88">
          <cell r="H88">
            <v>15000000</v>
          </cell>
        </row>
        <row r="552">
          <cell r="H552">
            <v>28956340</v>
          </cell>
        </row>
        <row r="622">
          <cell r="H622">
            <v>100000000</v>
          </cell>
        </row>
        <row r="724">
          <cell r="Y724">
            <v>16905130</v>
          </cell>
        </row>
        <row r="817">
          <cell r="M817">
            <v>11831904</v>
          </cell>
        </row>
        <row r="846">
          <cell r="AF846">
            <v>16000000</v>
          </cell>
        </row>
        <row r="867">
          <cell r="O867">
            <v>36000000</v>
          </cell>
        </row>
        <row r="878">
          <cell r="O878">
            <v>10000000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1">
          <cell r="H31">
            <v>86271560</v>
          </cell>
        </row>
        <row r="34">
          <cell r="H34">
            <v>49856575</v>
          </cell>
        </row>
        <row r="50">
          <cell r="U50">
            <v>30000000</v>
          </cell>
        </row>
        <row r="97">
          <cell r="H97">
            <v>100166000</v>
          </cell>
        </row>
        <row r="347">
          <cell r="Z347">
            <v>33953713</v>
          </cell>
        </row>
        <row r="480">
          <cell r="Z480">
            <v>100000000</v>
          </cell>
        </row>
        <row r="572">
          <cell r="Y572">
            <v>10000000</v>
          </cell>
        </row>
        <row r="585">
          <cell r="Y585">
            <v>27000000</v>
          </cell>
        </row>
        <row r="646">
          <cell r="G646">
            <v>1606424</v>
          </cell>
          <cell r="H646">
            <v>1606424</v>
          </cell>
        </row>
        <row r="929">
          <cell r="H929">
            <v>16905130</v>
          </cell>
        </row>
        <row r="959">
          <cell r="H959">
            <v>3179500</v>
          </cell>
        </row>
        <row r="961">
          <cell r="Y961">
            <v>3179500</v>
          </cell>
        </row>
        <row r="975">
          <cell r="H975">
            <v>10770298</v>
          </cell>
        </row>
        <row r="1124">
          <cell r="O1124">
            <v>10000000</v>
          </cell>
        </row>
        <row r="1359">
          <cell r="H1359">
            <v>1000000</v>
          </cell>
        </row>
        <row r="1362">
          <cell r="G1362">
            <v>1000000</v>
          </cell>
        </row>
        <row r="1527">
          <cell r="O1527">
            <v>15200000</v>
          </cell>
        </row>
        <row r="1547">
          <cell r="G1547">
            <v>1000000</v>
          </cell>
          <cell r="H1547">
            <v>1000000</v>
          </cell>
        </row>
        <row r="1562">
          <cell r="G1562">
            <v>13946625</v>
          </cell>
        </row>
        <row r="1609">
          <cell r="O1609">
            <v>9950000</v>
          </cell>
        </row>
        <row r="1625">
          <cell r="H1625">
            <v>33106800</v>
          </cell>
        </row>
        <row r="1694">
          <cell r="X1694">
            <v>485000000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K218">
            <v>200000000</v>
          </cell>
          <cell r="M218">
            <v>268168096</v>
          </cell>
          <cell r="O218">
            <v>701280247</v>
          </cell>
          <cell r="Z218">
            <v>102551657</v>
          </cell>
        </row>
        <row r="227">
          <cell r="Z227">
            <v>20000000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78">
          <cell r="Y478">
            <v>10000000</v>
          </cell>
        </row>
        <row r="625">
          <cell r="O625">
            <v>80000000</v>
          </cell>
        </row>
        <row r="769">
          <cell r="H769">
            <v>17970750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6"/>
    </sheetNames>
    <sheetDataSet>
      <sheetData sheetId="0">
        <row r="31">
          <cell r="N31">
            <v>37846647</v>
          </cell>
        </row>
        <row r="77">
          <cell r="N77">
            <v>14638040</v>
          </cell>
        </row>
        <row r="179">
          <cell r="G179">
            <v>11962368</v>
          </cell>
          <cell r="H179">
            <v>11935200</v>
          </cell>
        </row>
        <row r="221">
          <cell r="H221">
            <v>249680327</v>
          </cell>
        </row>
        <row r="271">
          <cell r="H271">
            <v>114676894</v>
          </cell>
        </row>
        <row r="449">
          <cell r="G449">
            <v>15000000</v>
          </cell>
        </row>
        <row r="461">
          <cell r="H461">
            <v>1000000</v>
          </cell>
        </row>
        <row r="477">
          <cell r="O477">
            <v>145193691</v>
          </cell>
        </row>
        <row r="887">
          <cell r="H887">
            <v>700000</v>
          </cell>
        </row>
        <row r="889">
          <cell r="Y889">
            <v>700000</v>
          </cell>
        </row>
        <row r="958">
          <cell r="H958">
            <v>78948779</v>
          </cell>
        </row>
        <row r="960">
          <cell r="Y960">
            <v>78948779</v>
          </cell>
        </row>
        <row r="984">
          <cell r="H984">
            <v>5877280</v>
          </cell>
        </row>
        <row r="1402">
          <cell r="H1402">
            <v>20000000</v>
          </cell>
        </row>
        <row r="1444">
          <cell r="M1444">
            <v>30000000</v>
          </cell>
        </row>
        <row r="1463">
          <cell r="AG1463">
            <v>1806351</v>
          </cell>
        </row>
        <row r="1477">
          <cell r="H1477">
            <v>29751272</v>
          </cell>
        </row>
        <row r="1616">
          <cell r="H1616">
            <v>16000000</v>
          </cell>
        </row>
        <row r="1796">
          <cell r="H1796">
            <v>19800000</v>
          </cell>
        </row>
        <row r="1806">
          <cell r="H1806">
            <v>9057037</v>
          </cell>
        </row>
        <row r="1808">
          <cell r="O1808">
            <v>9057037</v>
          </cell>
        </row>
        <row r="1834">
          <cell r="O1834">
            <v>84468000</v>
          </cell>
        </row>
        <row r="1849">
          <cell r="H1849">
            <v>100977069</v>
          </cell>
        </row>
        <row r="1851">
          <cell r="O1851">
            <v>101500000</v>
          </cell>
        </row>
        <row r="1893">
          <cell r="H1893">
            <v>107542346</v>
          </cell>
        </row>
        <row r="1895">
          <cell r="O1895">
            <v>110000000</v>
          </cell>
        </row>
        <row r="2016">
          <cell r="H2016">
            <v>46950000</v>
          </cell>
        </row>
        <row r="2297">
          <cell r="H2297">
            <v>10000000</v>
          </cell>
        </row>
        <row r="2299">
          <cell r="O2299">
            <v>10000000</v>
          </cell>
        </row>
        <row r="2306">
          <cell r="O2306">
            <v>10000000</v>
          </cell>
        </row>
        <row r="2320">
          <cell r="O2320">
            <v>4592624</v>
          </cell>
        </row>
        <row r="2374">
          <cell r="H2374">
            <v>4500000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31">
          <cell r="M31">
            <v>690623210</v>
          </cell>
        </row>
        <row r="56">
          <cell r="H56">
            <v>30710300</v>
          </cell>
        </row>
        <row r="67">
          <cell r="H67">
            <v>2900000</v>
          </cell>
        </row>
        <row r="70">
          <cell r="H70">
            <v>11738040</v>
          </cell>
        </row>
        <row r="177">
          <cell r="H177">
            <v>2894345</v>
          </cell>
        </row>
        <row r="179">
          <cell r="AG179">
            <v>2894345</v>
          </cell>
        </row>
        <row r="197">
          <cell r="W197">
            <v>250000000</v>
          </cell>
        </row>
        <row r="399">
          <cell r="O399">
            <v>10000000</v>
          </cell>
        </row>
        <row r="461">
          <cell r="Z461">
            <v>55000000</v>
          </cell>
        </row>
        <row r="626">
          <cell r="Z626">
            <v>17580000</v>
          </cell>
          <cell r="AG626">
            <v>1840000</v>
          </cell>
        </row>
        <row r="627">
          <cell r="H627">
            <v>1400000</v>
          </cell>
        </row>
        <row r="628">
          <cell r="H628">
            <v>240000</v>
          </cell>
        </row>
        <row r="629">
          <cell r="H629">
            <v>17580000</v>
          </cell>
        </row>
        <row r="631">
          <cell r="H631">
            <v>200000</v>
          </cell>
        </row>
        <row r="951">
          <cell r="H951">
            <v>105000000</v>
          </cell>
        </row>
        <row r="953">
          <cell r="Y953">
            <v>105000000</v>
          </cell>
        </row>
        <row r="1028">
          <cell r="W1028">
            <v>7654735</v>
          </cell>
        </row>
        <row r="1063">
          <cell r="AF1063">
            <v>9580000</v>
          </cell>
        </row>
        <row r="1217">
          <cell r="Y1217">
            <v>78388870</v>
          </cell>
        </row>
        <row r="1439">
          <cell r="Y1439">
            <v>18178361</v>
          </cell>
        </row>
        <row r="1629">
          <cell r="O1629">
            <v>30800000</v>
          </cell>
        </row>
        <row r="1784">
          <cell r="G1784">
            <v>3000000</v>
          </cell>
          <cell r="H1784">
            <v>3000000</v>
          </cell>
        </row>
        <row r="1796">
          <cell r="H1796">
            <v>16614042</v>
          </cell>
        </row>
        <row r="1825">
          <cell r="O1825">
            <v>47273440</v>
          </cell>
        </row>
        <row r="1916">
          <cell r="H1916">
            <v>5165953</v>
          </cell>
        </row>
        <row r="1918">
          <cell r="AG1918">
            <v>8000000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18">
          <cell r="M18">
            <v>1264899677</v>
          </cell>
        </row>
        <row r="31">
          <cell r="U31">
            <v>49856575</v>
          </cell>
        </row>
        <row r="62">
          <cell r="H62">
            <v>30000000</v>
          </cell>
        </row>
        <row r="75"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416">
          <cell r="H416">
            <v>33881302</v>
          </cell>
        </row>
        <row r="901">
          <cell r="H901">
            <v>2142000</v>
          </cell>
        </row>
        <row r="904">
          <cell r="H904">
            <v>2700000</v>
          </cell>
        </row>
        <row r="906">
          <cell r="H906">
            <v>1700000</v>
          </cell>
        </row>
        <row r="908">
          <cell r="W908">
            <v>1112735</v>
          </cell>
        </row>
        <row r="1115">
          <cell r="G1115">
            <v>9233340</v>
          </cell>
          <cell r="H1115">
            <v>9233340</v>
          </cell>
        </row>
        <row r="1142">
          <cell r="AF1142">
            <v>3000000</v>
          </cell>
        </row>
        <row r="1359">
          <cell r="H1359">
            <v>14004396</v>
          </cell>
        </row>
        <row r="1361">
          <cell r="H1361">
            <v>1796640</v>
          </cell>
        </row>
        <row r="1393">
          <cell r="O1393">
            <v>1550000</v>
          </cell>
        </row>
        <row r="1397">
          <cell r="O1397">
            <v>1550000</v>
          </cell>
        </row>
        <row r="1566">
          <cell r="W1566">
            <v>16838117</v>
          </cell>
        </row>
        <row r="1676">
          <cell r="H1676">
            <v>4993200</v>
          </cell>
        </row>
        <row r="1678">
          <cell r="AG1678">
            <v>5000000</v>
          </cell>
        </row>
        <row r="1761">
          <cell r="H1761">
            <v>12487248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  <row r="1371">
          <cell r="AA1371">
            <v>2700000000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49"/>
  <sheetViews>
    <sheetView showGridLines="0" zoomScaleNormal="100" zoomScalePageLayoutView="50" workbookViewId="0">
      <pane xSplit="3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O98" sqref="O98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38.28515625" customWidth="1"/>
    <col min="5" max="5" width="6.28515625" customWidth="1"/>
    <col min="6" max="6" width="14.28515625" hidden="1" customWidth="1"/>
    <col min="7" max="7" width="13.7109375" bestFit="1" customWidth="1"/>
    <col min="8" max="8" width="11.42578125" customWidth="1"/>
    <col min="9" max="9" width="14.8554687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5" width="10.7109375" customWidth="1"/>
    <col min="16" max="16" width="11" customWidth="1"/>
    <col min="17" max="17" width="11.140625" customWidth="1"/>
    <col min="18" max="18" width="12.7109375" customWidth="1"/>
    <col min="19" max="19" width="12.28515625" customWidth="1"/>
    <col min="20" max="20" width="11.140625" customWidth="1"/>
    <col min="21" max="22" width="12.7109375" customWidth="1"/>
    <col min="23" max="23" width="11.28515625" customWidth="1"/>
    <col min="24" max="24" width="12.7109375" customWidth="1"/>
    <col min="25" max="26" width="12.28515625" customWidth="1"/>
    <col min="27" max="27" width="2" bestFit="1" customWidth="1"/>
    <col min="28" max="28" width="8.28515625" customWidth="1"/>
    <col min="29" max="30" width="14.42578125" customWidth="1"/>
    <col min="31" max="31" width="13.5703125" customWidth="1"/>
    <col min="32" max="32" width="14" customWidth="1"/>
    <col min="33" max="33" width="17.28515625" customWidth="1"/>
    <col min="34" max="34" width="16.140625" customWidth="1"/>
    <col min="35" max="36" width="15" customWidth="1"/>
    <col min="37" max="37" width="11.7109375" customWidth="1"/>
    <col min="38" max="38" width="13.28515625" customWidth="1"/>
    <col min="39" max="39" width="12.5703125" customWidth="1"/>
    <col min="40" max="40" width="14.42578125" customWidth="1"/>
    <col min="41" max="41" width="14.140625" customWidth="1"/>
    <col min="42" max="42" width="13.28515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1" width="14.85546875" customWidth="1"/>
    <col min="52" max="52" width="14.5703125" customWidth="1"/>
    <col min="53" max="53" width="15.140625" customWidth="1"/>
    <col min="54" max="54" width="14.42578125" customWidth="1"/>
    <col min="55" max="55" width="11.28515625" customWidth="1"/>
    <col min="56" max="56" width="13.85546875" customWidth="1"/>
    <col min="57" max="57" width="10" customWidth="1"/>
    <col min="58" max="58" width="11" customWidth="1"/>
    <col min="59" max="60" width="9.28515625" customWidth="1"/>
    <col min="61" max="61" width="12.5703125" customWidth="1"/>
    <col min="62" max="62" width="13.5703125" customWidth="1"/>
    <col min="63" max="63" width="15.140625" customWidth="1"/>
    <col min="64" max="64" width="13.85546875" customWidth="1"/>
    <col min="65" max="65" width="15" customWidth="1"/>
    <col min="66" max="67" width="13.42578125" customWidth="1"/>
    <col min="68" max="68" width="13.5703125" customWidth="1"/>
    <col min="69" max="69" width="13.7109375" customWidth="1"/>
    <col min="70" max="70" width="14" customWidth="1"/>
    <col min="71" max="71" width="10.28515625" customWidth="1"/>
    <col min="72" max="72" width="14" customWidth="1"/>
    <col min="73" max="73" width="14" hidden="1" customWidth="1"/>
    <col min="74" max="74" width="12.28515625" customWidth="1"/>
    <col min="75" max="75" width="13.28515625" customWidth="1"/>
    <col min="76" max="76" width="14" customWidth="1"/>
    <col min="77" max="77" width="15.42578125" customWidth="1"/>
    <col min="78" max="78" width="15.28515625" customWidth="1"/>
    <col min="79" max="79" width="12.42578125" customWidth="1"/>
    <col min="80" max="80" width="11.7109375" customWidth="1"/>
    <col min="81" max="81" width="13.42578125" customWidth="1"/>
    <col min="82" max="82" width="11.42578125" customWidth="1"/>
    <col min="83" max="83" width="15.7109375" customWidth="1"/>
    <col min="84" max="84" width="16.28515625" customWidth="1"/>
    <col min="85" max="85" width="16.5703125" customWidth="1"/>
    <col min="86" max="86" width="17.140625" customWidth="1"/>
    <col min="87" max="87" width="13" customWidth="1"/>
    <col min="88" max="89" width="14.28515625" customWidth="1"/>
    <col min="90" max="90" width="13.7109375" customWidth="1"/>
    <col min="91" max="91" width="12.28515625" customWidth="1"/>
    <col min="92" max="92" width="13.42578125" customWidth="1"/>
    <col min="93" max="93" width="9.7109375" customWidth="1"/>
    <col min="94" max="94" width="15" customWidth="1"/>
    <col min="95" max="95" width="13.7109375" customWidth="1"/>
    <col min="96" max="96" width="14.42578125" customWidth="1"/>
    <col min="97" max="97" width="15.5703125" customWidth="1"/>
    <col min="98" max="100" width="13.5703125" customWidth="1"/>
    <col min="101" max="102" width="13.85546875" customWidth="1"/>
    <col min="103" max="103" width="11.42578125" customWidth="1"/>
    <col min="104" max="104" width="13.7109375" customWidth="1"/>
    <col min="105" max="105" width="13.85546875" customWidth="1"/>
    <col min="106" max="106" width="12.28515625" customWidth="1"/>
    <col min="107" max="107" width="13.85546875" customWidth="1"/>
    <col min="108" max="108" width="13.28515625" customWidth="1"/>
    <col min="109" max="110" width="14.42578125" customWidth="1"/>
    <col min="111" max="111" width="14.85546875" hidden="1" customWidth="1"/>
    <col min="112" max="112" width="14.85546875" customWidth="1"/>
    <col min="113" max="113" width="13.5703125" customWidth="1"/>
    <col min="114" max="114" width="5.140625" customWidth="1"/>
  </cols>
  <sheetData>
    <row r="1" spans="1:113" ht="15" customHeight="1" x14ac:dyDescent="0.3">
      <c r="C1" s="158" t="s">
        <v>0</v>
      </c>
      <c r="D1" s="158"/>
      <c r="E1" s="158"/>
      <c r="F1" s="158"/>
      <c r="G1" s="159" t="s">
        <v>1</v>
      </c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"/>
      <c r="AB1" s="2"/>
      <c r="AC1" s="160" t="s">
        <v>2</v>
      </c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2"/>
      <c r="AX1" s="3"/>
      <c r="AY1" s="4"/>
      <c r="AZ1" s="156" t="s">
        <v>3</v>
      </c>
      <c r="BA1" s="157"/>
      <c r="BB1" s="157"/>
      <c r="BC1" s="157"/>
      <c r="BD1" s="157"/>
      <c r="BE1" s="157"/>
      <c r="BF1" s="157"/>
      <c r="BG1" s="157"/>
      <c r="BH1" s="157"/>
      <c r="BI1" s="157"/>
      <c r="BJ1" s="157"/>
      <c r="BK1" s="157"/>
      <c r="BL1" s="157"/>
      <c r="BM1" s="157"/>
      <c r="BN1" s="157"/>
      <c r="BO1" s="157"/>
      <c r="BP1" s="157"/>
      <c r="BQ1" s="157"/>
      <c r="BR1" s="157"/>
      <c r="BS1" s="163"/>
      <c r="BT1" s="156" t="s">
        <v>4</v>
      </c>
      <c r="BU1" s="157"/>
      <c r="BV1" s="157"/>
      <c r="BW1" s="157"/>
      <c r="BX1" s="157"/>
      <c r="BY1" s="157"/>
      <c r="BZ1" s="157"/>
      <c r="CA1" s="157"/>
      <c r="CB1" s="157"/>
      <c r="CC1" s="157"/>
      <c r="CD1" s="157"/>
      <c r="CE1" s="157"/>
      <c r="CF1" s="157"/>
      <c r="CG1" s="157"/>
      <c r="CH1" s="157"/>
      <c r="CI1" s="157"/>
      <c r="CJ1" s="157"/>
      <c r="CK1" s="157"/>
      <c r="CL1" s="157"/>
      <c r="CM1" s="157"/>
      <c r="CN1" s="163"/>
      <c r="CO1" s="3"/>
      <c r="CP1" s="156" t="s">
        <v>3</v>
      </c>
      <c r="CQ1" s="157"/>
      <c r="CR1" s="157"/>
      <c r="CS1" s="157"/>
      <c r="CT1" s="157"/>
      <c r="CU1" s="157"/>
      <c r="CV1" s="157"/>
      <c r="CW1" s="157"/>
      <c r="CX1" s="157"/>
      <c r="CY1" s="157"/>
      <c r="CZ1" s="157"/>
      <c r="DA1" s="157"/>
      <c r="DB1" s="157"/>
      <c r="DC1" s="157"/>
      <c r="DD1" s="157"/>
      <c r="DE1" s="157"/>
      <c r="DF1" s="157"/>
      <c r="DG1" s="157"/>
      <c r="DH1" s="157"/>
      <c r="DI1" s="157"/>
    </row>
    <row r="2" spans="1:113" ht="15.6" customHeight="1" x14ac:dyDescent="0.25">
      <c r="A2" s="164" t="s">
        <v>5</v>
      </c>
      <c r="B2" s="164" t="s">
        <v>6</v>
      </c>
      <c r="C2" s="165" t="s">
        <v>7</v>
      </c>
      <c r="D2" s="164" t="s">
        <v>8</v>
      </c>
      <c r="E2" s="167" t="s">
        <v>9</v>
      </c>
      <c r="F2" s="180" t="s">
        <v>10</v>
      </c>
      <c r="G2" s="171" t="s">
        <v>11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3"/>
      <c r="AA2" s="1"/>
      <c r="AB2" s="5"/>
      <c r="AC2" s="174" t="s">
        <v>12</v>
      </c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6"/>
      <c r="AX2" s="6"/>
      <c r="AY2" s="7"/>
      <c r="AZ2" s="177" t="s">
        <v>13</v>
      </c>
      <c r="BA2" s="178"/>
      <c r="BB2" s="178"/>
      <c r="BC2" s="178"/>
      <c r="BD2" s="178"/>
      <c r="BE2" s="178"/>
      <c r="BF2" s="178"/>
      <c r="BG2" s="178"/>
      <c r="BH2" s="179"/>
      <c r="BI2" s="177" t="s">
        <v>13</v>
      </c>
      <c r="BJ2" s="178"/>
      <c r="BK2" s="178"/>
      <c r="BL2" s="178"/>
      <c r="BM2" s="178"/>
      <c r="BN2" s="178"/>
      <c r="BO2" s="178"/>
      <c r="BP2" s="178"/>
      <c r="BQ2" s="178"/>
      <c r="BR2" s="179"/>
      <c r="BS2" s="8"/>
      <c r="BT2" s="9"/>
      <c r="BU2" s="10"/>
      <c r="BV2" s="174" t="s">
        <v>14</v>
      </c>
      <c r="BW2" s="175"/>
      <c r="BX2" s="175"/>
      <c r="BY2" s="175"/>
      <c r="BZ2" s="175"/>
      <c r="CA2" s="175"/>
      <c r="CB2" s="175"/>
      <c r="CC2" s="175"/>
      <c r="CD2" s="175"/>
      <c r="CE2" s="175"/>
      <c r="CF2" s="11"/>
      <c r="CG2" s="174" t="s">
        <v>14</v>
      </c>
      <c r="CH2" s="175"/>
      <c r="CI2" s="175"/>
      <c r="CJ2" s="175"/>
      <c r="CK2" s="175"/>
      <c r="CL2" s="175"/>
      <c r="CM2" s="175"/>
      <c r="CN2" s="176"/>
      <c r="CO2" s="12"/>
      <c r="CP2" s="177" t="s">
        <v>13</v>
      </c>
      <c r="CQ2" s="178"/>
      <c r="CR2" s="178"/>
      <c r="CS2" s="178"/>
      <c r="CT2" s="178"/>
      <c r="CU2" s="178"/>
      <c r="CV2" s="178"/>
      <c r="CW2" s="178"/>
      <c r="CX2" s="178"/>
      <c r="CY2" s="178"/>
      <c r="CZ2" s="178" t="s">
        <v>13</v>
      </c>
      <c r="DA2" s="178"/>
      <c r="DB2" s="178"/>
      <c r="DC2" s="178"/>
      <c r="DD2" s="178"/>
      <c r="DE2" s="178"/>
      <c r="DF2" s="178"/>
      <c r="DG2" s="178"/>
      <c r="DH2" s="178"/>
      <c r="DI2" s="179"/>
    </row>
    <row r="3" spans="1:113" ht="39" customHeight="1" x14ac:dyDescent="0.25">
      <c r="A3" s="164"/>
      <c r="B3" s="164"/>
      <c r="C3" s="166"/>
      <c r="D3" s="164"/>
      <c r="E3" s="168"/>
      <c r="F3" s="181"/>
      <c r="G3" s="13" t="s">
        <v>15</v>
      </c>
      <c r="H3" s="13" t="s">
        <v>16</v>
      </c>
      <c r="I3" s="13" t="s">
        <v>17</v>
      </c>
      <c r="J3" s="13" t="s">
        <v>18</v>
      </c>
      <c r="K3" s="13" t="s">
        <v>19</v>
      </c>
      <c r="L3" s="13" t="s">
        <v>20</v>
      </c>
      <c r="M3" s="13" t="s">
        <v>21</v>
      </c>
      <c r="N3" s="13" t="s">
        <v>22</v>
      </c>
      <c r="O3" s="13" t="s">
        <v>23</v>
      </c>
      <c r="P3" s="13" t="s">
        <v>24</v>
      </c>
      <c r="Q3" s="13" t="s">
        <v>25</v>
      </c>
      <c r="R3" s="13" t="s">
        <v>26</v>
      </c>
      <c r="S3" s="13" t="s">
        <v>27</v>
      </c>
      <c r="T3" s="13" t="s">
        <v>28</v>
      </c>
      <c r="U3" s="13" t="s">
        <v>29</v>
      </c>
      <c r="V3" s="13" t="s">
        <v>30</v>
      </c>
      <c r="W3" s="13" t="s">
        <v>31</v>
      </c>
      <c r="X3" s="13" t="s">
        <v>32</v>
      </c>
      <c r="Y3" s="13" t="s">
        <v>33</v>
      </c>
      <c r="Z3" s="13" t="s">
        <v>34</v>
      </c>
      <c r="AB3" s="14" t="s">
        <v>35</v>
      </c>
      <c r="AC3" s="15" t="s">
        <v>15</v>
      </c>
      <c r="AD3" s="15" t="s">
        <v>36</v>
      </c>
      <c r="AE3" s="15" t="s">
        <v>16</v>
      </c>
      <c r="AF3" s="15" t="s">
        <v>37</v>
      </c>
      <c r="AG3" s="15" t="s">
        <v>18</v>
      </c>
      <c r="AH3" s="15" t="s">
        <v>19</v>
      </c>
      <c r="AI3" s="15" t="s">
        <v>20</v>
      </c>
      <c r="AJ3" s="15" t="s">
        <v>21</v>
      </c>
      <c r="AK3" s="15" t="s">
        <v>22</v>
      </c>
      <c r="AL3" s="15" t="s">
        <v>23</v>
      </c>
      <c r="AM3" s="15" t="s">
        <v>24</v>
      </c>
      <c r="AN3" s="15" t="s">
        <v>38</v>
      </c>
      <c r="AO3" s="15" t="s">
        <v>26</v>
      </c>
      <c r="AP3" s="15" t="s">
        <v>27</v>
      </c>
      <c r="AQ3" s="15" t="s">
        <v>28</v>
      </c>
      <c r="AR3" s="16" t="str">
        <f>+U3</f>
        <v xml:space="preserve">EXCEDENTES  USCO </v>
      </c>
      <c r="AS3" s="15" t="s">
        <v>30</v>
      </c>
      <c r="AT3" s="15" t="s">
        <v>31</v>
      </c>
      <c r="AU3" s="15" t="s">
        <v>32</v>
      </c>
      <c r="AV3" s="15" t="s">
        <v>33</v>
      </c>
      <c r="AW3" s="15" t="s">
        <v>34</v>
      </c>
      <c r="AX3" s="17" t="s">
        <v>35</v>
      </c>
      <c r="AY3" s="18" t="s">
        <v>15</v>
      </c>
      <c r="AZ3" s="18" t="s">
        <v>16</v>
      </c>
      <c r="BA3" s="18" t="s">
        <v>37</v>
      </c>
      <c r="BB3" s="18" t="s">
        <v>18</v>
      </c>
      <c r="BC3" s="18" t="s">
        <v>19</v>
      </c>
      <c r="BD3" s="18" t="s">
        <v>20</v>
      </c>
      <c r="BE3" s="18" t="s">
        <v>21</v>
      </c>
      <c r="BF3" s="18" t="s">
        <v>22</v>
      </c>
      <c r="BG3" s="18" t="s">
        <v>23</v>
      </c>
      <c r="BH3" s="18" t="s">
        <v>24</v>
      </c>
      <c r="BI3" s="18" t="s">
        <v>38</v>
      </c>
      <c r="BJ3" s="18" t="s">
        <v>26</v>
      </c>
      <c r="BK3" s="18" t="s">
        <v>27</v>
      </c>
      <c r="BL3" s="18" t="s">
        <v>28</v>
      </c>
      <c r="BM3" s="18" t="str">
        <f>+AR3</f>
        <v xml:space="preserve">EXCEDENTES  USCO </v>
      </c>
      <c r="BN3" s="18" t="s">
        <v>30</v>
      </c>
      <c r="BO3" s="18" t="s">
        <v>31</v>
      </c>
      <c r="BP3" s="18" t="s">
        <v>32</v>
      </c>
      <c r="BQ3" s="18" t="s">
        <v>33</v>
      </c>
      <c r="BR3" s="18" t="s">
        <v>34</v>
      </c>
      <c r="BS3" s="14" t="s">
        <v>35</v>
      </c>
      <c r="BT3" s="15" t="s">
        <v>15</v>
      </c>
      <c r="BU3" s="15" t="s">
        <v>36</v>
      </c>
      <c r="BV3" s="15" t="s">
        <v>16</v>
      </c>
      <c r="BW3" s="15" t="s">
        <v>37</v>
      </c>
      <c r="BX3" s="15" t="s">
        <v>18</v>
      </c>
      <c r="BY3" s="15" t="s">
        <v>19</v>
      </c>
      <c r="BZ3" s="15" t="s">
        <v>20</v>
      </c>
      <c r="CA3" s="15" t="s">
        <v>21</v>
      </c>
      <c r="CB3" s="15" t="s">
        <v>22</v>
      </c>
      <c r="CC3" s="15" t="s">
        <v>23</v>
      </c>
      <c r="CD3" s="15" t="s">
        <v>24</v>
      </c>
      <c r="CE3" s="15" t="s">
        <v>38</v>
      </c>
      <c r="CF3" s="15" t="s">
        <v>26</v>
      </c>
      <c r="CG3" s="15" t="s">
        <v>27</v>
      </c>
      <c r="CH3" s="15" t="s">
        <v>28</v>
      </c>
      <c r="CI3" s="15" t="str">
        <f>+BM3</f>
        <v xml:space="preserve">EXCEDENTES  USCO </v>
      </c>
      <c r="CJ3" s="15" t="s">
        <v>30</v>
      </c>
      <c r="CK3" s="15" t="s">
        <v>31</v>
      </c>
      <c r="CL3" s="15" t="s">
        <v>32</v>
      </c>
      <c r="CM3" s="15" t="s">
        <v>33</v>
      </c>
      <c r="CN3" s="15" t="s">
        <v>34</v>
      </c>
      <c r="CO3" s="17" t="s">
        <v>35</v>
      </c>
      <c r="CP3" s="18" t="s">
        <v>15</v>
      </c>
      <c r="CQ3" s="18" t="s">
        <v>16</v>
      </c>
      <c r="CR3" s="18" t="s">
        <v>37</v>
      </c>
      <c r="CS3" s="18" t="s">
        <v>18</v>
      </c>
      <c r="CT3" s="18" t="s">
        <v>19</v>
      </c>
      <c r="CU3" s="18" t="s">
        <v>20</v>
      </c>
      <c r="CV3" s="18" t="s">
        <v>21</v>
      </c>
      <c r="CW3" s="18" t="s">
        <v>22</v>
      </c>
      <c r="CX3" s="18" t="s">
        <v>23</v>
      </c>
      <c r="CY3" s="18" t="s">
        <v>24</v>
      </c>
      <c r="CZ3" s="18" t="s">
        <v>38</v>
      </c>
      <c r="DA3" s="18" t="s">
        <v>26</v>
      </c>
      <c r="DB3" s="18" t="s">
        <v>27</v>
      </c>
      <c r="DC3" s="18" t="s">
        <v>28</v>
      </c>
      <c r="DD3" s="19" t="str">
        <f>+CI3</f>
        <v xml:space="preserve">EXCEDENTES  USCO </v>
      </c>
      <c r="DE3" s="18" t="s">
        <v>30</v>
      </c>
      <c r="DF3" s="18" t="s">
        <v>31</v>
      </c>
      <c r="DG3" s="18" t="s">
        <v>32</v>
      </c>
      <c r="DH3" s="18" t="s">
        <v>33</v>
      </c>
      <c r="DI3" s="18" t="s">
        <v>34</v>
      </c>
    </row>
    <row r="4" spans="1:113" ht="66.75" customHeight="1" x14ac:dyDescent="0.25">
      <c r="A4" s="20" t="s">
        <v>39</v>
      </c>
      <c r="B4" s="169" t="s">
        <v>40</v>
      </c>
      <c r="C4" s="21" t="s">
        <v>41</v>
      </c>
      <c r="D4" s="22" t="s">
        <v>42</v>
      </c>
      <c r="E4" s="23">
        <v>510</v>
      </c>
      <c r="F4" s="24" t="s">
        <v>43</v>
      </c>
      <c r="G4" s="25">
        <f t="shared" ref="G4:G19" si="0">SUM(H4:Z4)</f>
        <v>25000000</v>
      </c>
      <c r="H4" s="25"/>
      <c r="I4" s="25"/>
      <c r="J4" s="25"/>
      <c r="K4" s="25">
        <v>25000000</v>
      </c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6"/>
      <c r="AB4" s="27">
        <f t="shared" ref="AB4:AB67" si="1">+AC4/G4</f>
        <v>1</v>
      </c>
      <c r="AC4" s="25">
        <f t="shared" ref="AC4:AC19" si="2">SUM(AD4:AW4)</f>
        <v>25000000</v>
      </c>
      <c r="AD4" s="28"/>
      <c r="AE4" s="29"/>
      <c r="AF4" s="29"/>
      <c r="AG4" s="29"/>
      <c r="AH4" s="25">
        <v>25000000</v>
      </c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27">
        <f t="shared" ref="AX4:AX67" si="3">1-AB4</f>
        <v>0</v>
      </c>
      <c r="AY4" s="25">
        <f t="shared" ref="AY4:AY19" si="4">SUM(AZ4:BR4)</f>
        <v>0</v>
      </c>
      <c r="AZ4" s="25">
        <f t="shared" ref="AZ4:AZ9" si="5">+H4</f>
        <v>0</v>
      </c>
      <c r="BA4" s="25">
        <f t="shared" ref="BA4:BB16" si="6">I4-AF4</f>
        <v>0</v>
      </c>
      <c r="BB4" s="25">
        <f t="shared" si="6"/>
        <v>0</v>
      </c>
      <c r="BC4" s="25">
        <f t="shared" ref="BC4:BN16" si="7">+K4-AH4</f>
        <v>0</v>
      </c>
      <c r="BD4" s="25">
        <f t="shared" si="7"/>
        <v>0</v>
      </c>
      <c r="BE4" s="25">
        <f t="shared" si="7"/>
        <v>0</v>
      </c>
      <c r="BF4" s="25">
        <f t="shared" si="7"/>
        <v>0</v>
      </c>
      <c r="BG4" s="25">
        <f t="shared" si="7"/>
        <v>0</v>
      </c>
      <c r="BH4" s="25">
        <f t="shared" si="7"/>
        <v>0</v>
      </c>
      <c r="BI4" s="25">
        <f t="shared" si="7"/>
        <v>0</v>
      </c>
      <c r="BJ4" s="25">
        <f t="shared" si="7"/>
        <v>0</v>
      </c>
      <c r="BK4" s="25">
        <f t="shared" si="7"/>
        <v>0</v>
      </c>
      <c r="BL4" s="25">
        <f t="shared" si="7"/>
        <v>0</v>
      </c>
      <c r="BM4" s="25">
        <f t="shared" si="7"/>
        <v>0</v>
      </c>
      <c r="BN4" s="25">
        <f t="shared" si="7"/>
        <v>0</v>
      </c>
      <c r="BO4" s="25"/>
      <c r="BP4" s="25">
        <f>+X4-AU4</f>
        <v>0</v>
      </c>
      <c r="BQ4" s="25">
        <f t="shared" ref="BQ4:BQ16" si="8">Y4-AV4</f>
        <v>0</v>
      </c>
      <c r="BR4" s="25">
        <f t="shared" ref="BR4:BR16" si="9">+Z4-AW4</f>
        <v>0</v>
      </c>
      <c r="BS4" s="27">
        <f t="shared" ref="BS4:BS67" si="10">+BT4/G4</f>
        <v>0.88505352000000004</v>
      </c>
      <c r="BT4" s="25">
        <f t="shared" ref="BT4:BT19" si="11">SUM(BU4:CN4)</f>
        <v>22126338</v>
      </c>
      <c r="BU4" s="25"/>
      <c r="BV4" s="25"/>
      <c r="BW4" s="25"/>
      <c r="BX4" s="25"/>
      <c r="BY4" s="25">
        <f>+'[1]AGOSTO 2016'!$H$2216</f>
        <v>22126338</v>
      </c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7">
        <f t="shared" ref="CO4:CO57" si="12">1-BS4</f>
        <v>0.11494647999999996</v>
      </c>
      <c r="CP4" s="25">
        <f t="shared" ref="CP4:CP19" si="13">SUM(CQ4:DI4)</f>
        <v>2873662</v>
      </c>
      <c r="CQ4" s="25">
        <f t="shared" ref="CQ4:CV19" si="14">H4-BV4</f>
        <v>0</v>
      </c>
      <c r="CR4" s="25">
        <f t="shared" si="14"/>
        <v>0</v>
      </c>
      <c r="CS4" s="25">
        <f t="shared" si="14"/>
        <v>0</v>
      </c>
      <c r="CT4" s="25">
        <f t="shared" si="14"/>
        <v>2873662</v>
      </c>
      <c r="CU4" s="25">
        <f t="shared" si="14"/>
        <v>0</v>
      </c>
      <c r="CV4" s="25">
        <f t="shared" si="14"/>
        <v>0</v>
      </c>
      <c r="CW4" s="25">
        <f t="shared" ref="CW4:CY16" si="15">+N4-CB4</f>
        <v>0</v>
      </c>
      <c r="CX4" s="25">
        <f t="shared" si="15"/>
        <v>0</v>
      </c>
      <c r="CY4" s="25">
        <f t="shared" si="15"/>
        <v>0</v>
      </c>
      <c r="CZ4" s="25">
        <f t="shared" ref="CZ4:DB19" si="16">Q4-CE4</f>
        <v>0</v>
      </c>
      <c r="DA4" s="25">
        <f t="shared" si="16"/>
        <v>0</v>
      </c>
      <c r="DB4" s="25">
        <f t="shared" si="16"/>
        <v>0</v>
      </c>
      <c r="DC4" s="25">
        <f t="shared" ref="DC4:DE16" si="17">+T4-CH4</f>
        <v>0</v>
      </c>
      <c r="DD4" s="25">
        <f t="shared" si="17"/>
        <v>0</v>
      </c>
      <c r="DE4" s="25">
        <f t="shared" si="17"/>
        <v>0</v>
      </c>
      <c r="DF4" s="25"/>
      <c r="DG4" s="25">
        <f t="shared" ref="DG4:DI16" si="18">+X4-CL4</f>
        <v>0</v>
      </c>
      <c r="DH4" s="25">
        <f t="shared" si="18"/>
        <v>0</v>
      </c>
      <c r="DI4" s="25">
        <f t="shared" si="18"/>
        <v>0</v>
      </c>
    </row>
    <row r="5" spans="1:113" ht="65.25" customHeight="1" x14ac:dyDescent="0.25">
      <c r="A5" s="31"/>
      <c r="B5" s="182"/>
      <c r="C5" s="21" t="s">
        <v>44</v>
      </c>
      <c r="D5" s="22" t="s">
        <v>45</v>
      </c>
      <c r="E5" s="23">
        <v>510</v>
      </c>
      <c r="F5" s="24" t="s">
        <v>46</v>
      </c>
      <c r="G5" s="25">
        <f t="shared" si="0"/>
        <v>62800000</v>
      </c>
      <c r="H5" s="25"/>
      <c r="I5" s="25">
        <f>18000000-18000000</f>
        <v>0</v>
      </c>
      <c r="J5" s="25"/>
      <c r="K5" s="25">
        <f>36000000+18000000</f>
        <v>54000000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f>5000000+1800000-1000000+3000000</f>
        <v>8800000</v>
      </c>
      <c r="AA5" s="32"/>
      <c r="AB5" s="27">
        <f t="shared" si="1"/>
        <v>0.65607587579617832</v>
      </c>
      <c r="AC5" s="25">
        <f t="shared" si="2"/>
        <v>41201565</v>
      </c>
      <c r="AD5" s="25"/>
      <c r="AE5" s="25"/>
      <c r="AF5" s="25"/>
      <c r="AG5" s="25"/>
      <c r="AH5" s="25">
        <f>+'[2]MARZO 2016 ULTIMO'!$O$867</f>
        <v>36000000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f>+'[1]AGOSTO 2016'!$AG$2237</f>
        <v>5201565</v>
      </c>
      <c r="AX5" s="27">
        <f t="shared" si="3"/>
        <v>0.34392412420382168</v>
      </c>
      <c r="AY5" s="25">
        <f t="shared" si="4"/>
        <v>21598435</v>
      </c>
      <c r="AZ5" s="25">
        <f t="shared" si="5"/>
        <v>0</v>
      </c>
      <c r="BA5" s="25">
        <f t="shared" si="6"/>
        <v>0</v>
      </c>
      <c r="BB5" s="25">
        <f t="shared" si="6"/>
        <v>0</v>
      </c>
      <c r="BC5" s="25">
        <f t="shared" si="7"/>
        <v>18000000</v>
      </c>
      <c r="BD5" s="25">
        <f t="shared" si="7"/>
        <v>0</v>
      </c>
      <c r="BE5" s="25">
        <f t="shared" si="7"/>
        <v>0</v>
      </c>
      <c r="BF5" s="25">
        <f t="shared" si="7"/>
        <v>0</v>
      </c>
      <c r="BG5" s="25">
        <f t="shared" si="7"/>
        <v>0</v>
      </c>
      <c r="BH5" s="25">
        <f t="shared" si="7"/>
        <v>0</v>
      </c>
      <c r="BI5" s="25">
        <f t="shared" si="7"/>
        <v>0</v>
      </c>
      <c r="BJ5" s="25">
        <f t="shared" si="7"/>
        <v>0</v>
      </c>
      <c r="BK5" s="25">
        <f t="shared" si="7"/>
        <v>0</v>
      </c>
      <c r="BL5" s="25">
        <f t="shared" si="7"/>
        <v>0</v>
      </c>
      <c r="BM5" s="25">
        <f t="shared" si="7"/>
        <v>0</v>
      </c>
      <c r="BN5" s="25">
        <f t="shared" si="7"/>
        <v>0</v>
      </c>
      <c r="BO5" s="25"/>
      <c r="BP5" s="25"/>
      <c r="BQ5" s="25">
        <f t="shared" si="8"/>
        <v>0</v>
      </c>
      <c r="BR5" s="25">
        <f t="shared" si="9"/>
        <v>3598435</v>
      </c>
      <c r="BS5" s="27">
        <f t="shared" si="10"/>
        <v>0.656050923566879</v>
      </c>
      <c r="BT5" s="25">
        <f t="shared" si="11"/>
        <v>41199998</v>
      </c>
      <c r="BU5" s="25"/>
      <c r="BV5" s="25"/>
      <c r="BW5" s="25"/>
      <c r="BX5" s="25"/>
      <c r="BY5" s="25">
        <f>+'[1]AGOSTO 2016'!$H$2238+'[1]AGOSTO 2016'!$H$2244</f>
        <v>35999998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f>+'[1]AGOSTO 2016'!$H$2240+'[1]AGOSTO 2016'!$H$2242+'[1]AGOSTO 2016'!$H$2246+'[1]AGOSTO 2016'!$H$2247+'[1]AGOSTO 2016'!$H$2248+'[1]AGOSTO 2016'!$H$2249+'[1]AGOSTO 2016'!$H$2250+'[1]AGOSTO 2016'!$H$2251</f>
        <v>5200000</v>
      </c>
      <c r="CO5" s="27">
        <f t="shared" si="12"/>
        <v>0.343949076433121</v>
      </c>
      <c r="CP5" s="25">
        <f t="shared" si="13"/>
        <v>21600002</v>
      </c>
      <c r="CQ5" s="25">
        <f t="shared" si="14"/>
        <v>0</v>
      </c>
      <c r="CR5" s="25">
        <f t="shared" si="14"/>
        <v>0</v>
      </c>
      <c r="CS5" s="25">
        <f t="shared" si="14"/>
        <v>0</v>
      </c>
      <c r="CT5" s="25">
        <f t="shared" si="14"/>
        <v>18000002</v>
      </c>
      <c r="CU5" s="25">
        <f t="shared" si="14"/>
        <v>0</v>
      </c>
      <c r="CV5" s="25">
        <f t="shared" si="14"/>
        <v>0</v>
      </c>
      <c r="CW5" s="25">
        <f t="shared" si="15"/>
        <v>0</v>
      </c>
      <c r="CX5" s="25">
        <f t="shared" si="15"/>
        <v>0</v>
      </c>
      <c r="CY5" s="25">
        <f t="shared" si="15"/>
        <v>0</v>
      </c>
      <c r="CZ5" s="25">
        <f t="shared" si="16"/>
        <v>0</v>
      </c>
      <c r="DA5" s="25">
        <f t="shared" si="16"/>
        <v>0</v>
      </c>
      <c r="DB5" s="25">
        <f t="shared" si="16"/>
        <v>0</v>
      </c>
      <c r="DC5" s="25">
        <f t="shared" si="17"/>
        <v>0</v>
      </c>
      <c r="DD5" s="25">
        <f t="shared" si="17"/>
        <v>0</v>
      </c>
      <c r="DE5" s="25">
        <f t="shared" si="17"/>
        <v>0</v>
      </c>
      <c r="DF5" s="25"/>
      <c r="DG5" s="25">
        <f t="shared" si="18"/>
        <v>0</v>
      </c>
      <c r="DH5" s="25">
        <f t="shared" si="18"/>
        <v>0</v>
      </c>
      <c r="DI5" s="25">
        <f t="shared" si="18"/>
        <v>3600000</v>
      </c>
    </row>
    <row r="6" spans="1:113" ht="48" customHeight="1" x14ac:dyDescent="0.25">
      <c r="A6" s="31"/>
      <c r="B6" s="170"/>
      <c r="C6" s="21" t="s">
        <v>47</v>
      </c>
      <c r="D6" s="22" t="s">
        <v>48</v>
      </c>
      <c r="E6" s="33">
        <v>510</v>
      </c>
      <c r="F6" s="24" t="s">
        <v>43</v>
      </c>
      <c r="G6" s="25">
        <f t="shared" si="0"/>
        <v>21000000</v>
      </c>
      <c r="H6" s="25"/>
      <c r="I6" s="25">
        <f>11000000-11000000</f>
        <v>0</v>
      </c>
      <c r="J6" s="25"/>
      <c r="K6" s="25">
        <f>10000000+11000000</f>
        <v>21000000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32"/>
      <c r="AB6" s="27">
        <f t="shared" si="1"/>
        <v>0.47619047619047616</v>
      </c>
      <c r="AC6" s="25">
        <f t="shared" si="2"/>
        <v>10000000</v>
      </c>
      <c r="AD6" s="25"/>
      <c r="AE6" s="25"/>
      <c r="AF6" s="25"/>
      <c r="AG6" s="25"/>
      <c r="AH6" s="25">
        <f>+'[2]MARZO 2016 ULTIMO'!$O$878</f>
        <v>10000000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7">
        <f t="shared" si="3"/>
        <v>0.52380952380952384</v>
      </c>
      <c r="AY6" s="25">
        <f t="shared" si="4"/>
        <v>11000000</v>
      </c>
      <c r="AZ6" s="25">
        <f t="shared" si="5"/>
        <v>0</v>
      </c>
      <c r="BA6" s="25">
        <f t="shared" si="6"/>
        <v>0</v>
      </c>
      <c r="BB6" s="25">
        <f t="shared" si="6"/>
        <v>0</v>
      </c>
      <c r="BC6" s="25">
        <f t="shared" si="7"/>
        <v>11000000</v>
      </c>
      <c r="BD6" s="25">
        <f t="shared" si="7"/>
        <v>0</v>
      </c>
      <c r="BE6" s="25">
        <f t="shared" si="7"/>
        <v>0</v>
      </c>
      <c r="BF6" s="25">
        <f t="shared" si="7"/>
        <v>0</v>
      </c>
      <c r="BG6" s="25">
        <f t="shared" si="7"/>
        <v>0</v>
      </c>
      <c r="BH6" s="25">
        <f t="shared" si="7"/>
        <v>0</v>
      </c>
      <c r="BI6" s="25">
        <f t="shared" si="7"/>
        <v>0</v>
      </c>
      <c r="BJ6" s="25">
        <f t="shared" si="7"/>
        <v>0</v>
      </c>
      <c r="BK6" s="25">
        <f t="shared" si="7"/>
        <v>0</v>
      </c>
      <c r="BL6" s="25">
        <f t="shared" si="7"/>
        <v>0</v>
      </c>
      <c r="BM6" s="25">
        <f t="shared" si="7"/>
        <v>0</v>
      </c>
      <c r="BN6" s="25">
        <f t="shared" si="7"/>
        <v>0</v>
      </c>
      <c r="BO6" s="25"/>
      <c r="BP6" s="25"/>
      <c r="BQ6" s="25">
        <f t="shared" si="8"/>
        <v>0</v>
      </c>
      <c r="BR6" s="25">
        <f t="shared" si="9"/>
        <v>0</v>
      </c>
      <c r="BS6" s="27">
        <f t="shared" si="10"/>
        <v>0.47619047619047616</v>
      </c>
      <c r="BT6" s="25">
        <f t="shared" si="11"/>
        <v>10000000</v>
      </c>
      <c r="BU6" s="25"/>
      <c r="BV6" s="25"/>
      <c r="BW6" s="25"/>
      <c r="BX6" s="25"/>
      <c r="BY6" s="25">
        <f>+'[3]ABRIL 2016'!$O$1124</f>
        <v>10000000</v>
      </c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7">
        <f t="shared" si="12"/>
        <v>0.52380952380952384</v>
      </c>
      <c r="CP6" s="25">
        <f t="shared" si="13"/>
        <v>11000000</v>
      </c>
      <c r="CQ6" s="25">
        <f t="shared" si="14"/>
        <v>0</v>
      </c>
      <c r="CR6" s="25">
        <f t="shared" si="14"/>
        <v>0</v>
      </c>
      <c r="CS6" s="25">
        <f t="shared" si="14"/>
        <v>0</v>
      </c>
      <c r="CT6" s="25">
        <f t="shared" si="14"/>
        <v>11000000</v>
      </c>
      <c r="CU6" s="25">
        <f t="shared" si="14"/>
        <v>0</v>
      </c>
      <c r="CV6" s="25">
        <f t="shared" si="14"/>
        <v>0</v>
      </c>
      <c r="CW6" s="25">
        <f t="shared" si="15"/>
        <v>0</v>
      </c>
      <c r="CX6" s="25">
        <f t="shared" si="15"/>
        <v>0</v>
      </c>
      <c r="CY6" s="25">
        <f t="shared" si="15"/>
        <v>0</v>
      </c>
      <c r="CZ6" s="25">
        <f t="shared" si="16"/>
        <v>0</v>
      </c>
      <c r="DA6" s="25">
        <f t="shared" si="16"/>
        <v>0</v>
      </c>
      <c r="DB6" s="25">
        <f t="shared" si="16"/>
        <v>0</v>
      </c>
      <c r="DC6" s="25">
        <f t="shared" si="17"/>
        <v>0</v>
      </c>
      <c r="DD6" s="25">
        <f t="shared" si="17"/>
        <v>0</v>
      </c>
      <c r="DE6" s="25">
        <f t="shared" si="17"/>
        <v>0</v>
      </c>
      <c r="DF6" s="25"/>
      <c r="DG6" s="25">
        <f t="shared" si="18"/>
        <v>0</v>
      </c>
      <c r="DH6" s="25">
        <f t="shared" si="18"/>
        <v>0</v>
      </c>
      <c r="DI6" s="25">
        <f t="shared" si="18"/>
        <v>0</v>
      </c>
    </row>
    <row r="7" spans="1:113" ht="52.5" customHeight="1" x14ac:dyDescent="0.25">
      <c r="A7" s="31"/>
      <c r="B7" s="34" t="s">
        <v>49</v>
      </c>
      <c r="C7" s="21" t="s">
        <v>50</v>
      </c>
      <c r="D7" s="22" t="s">
        <v>51</v>
      </c>
      <c r="E7" s="23">
        <v>510</v>
      </c>
      <c r="F7" s="24" t="s">
        <v>52</v>
      </c>
      <c r="G7" s="25">
        <f t="shared" si="0"/>
        <v>42876315</v>
      </c>
      <c r="H7" s="25"/>
      <c r="I7" s="25">
        <f>21000000-21000000</f>
        <v>0</v>
      </c>
      <c r="J7" s="25"/>
      <c r="K7" s="25">
        <f>21000000</f>
        <v>21000000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f>12576315+12300000-3000000</f>
        <v>21876315</v>
      </c>
      <c r="AB7" s="27">
        <f t="shared" si="1"/>
        <v>0.11372980630448302</v>
      </c>
      <c r="AC7" s="25">
        <f t="shared" si="2"/>
        <v>4876315</v>
      </c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>
        <f>+'[1]AGOSTO 2016'!$AG$2263</f>
        <v>4876315</v>
      </c>
      <c r="AX7" s="27">
        <f t="shared" si="3"/>
        <v>0.88627019369551696</v>
      </c>
      <c r="AY7" s="25">
        <f t="shared" si="4"/>
        <v>38000000</v>
      </c>
      <c r="AZ7" s="25">
        <f t="shared" si="5"/>
        <v>0</v>
      </c>
      <c r="BA7" s="25">
        <f t="shared" si="6"/>
        <v>0</v>
      </c>
      <c r="BB7" s="25">
        <f t="shared" si="6"/>
        <v>0</v>
      </c>
      <c r="BC7" s="25">
        <f t="shared" si="7"/>
        <v>21000000</v>
      </c>
      <c r="BD7" s="25">
        <f t="shared" si="7"/>
        <v>0</v>
      </c>
      <c r="BE7" s="25">
        <f t="shared" si="7"/>
        <v>0</v>
      </c>
      <c r="BF7" s="25">
        <f t="shared" si="7"/>
        <v>0</v>
      </c>
      <c r="BG7" s="25">
        <f t="shared" si="7"/>
        <v>0</v>
      </c>
      <c r="BH7" s="25">
        <f t="shared" si="7"/>
        <v>0</v>
      </c>
      <c r="BI7" s="25">
        <f t="shared" si="7"/>
        <v>0</v>
      </c>
      <c r="BJ7" s="25">
        <f t="shared" si="7"/>
        <v>0</v>
      </c>
      <c r="BK7" s="25">
        <f t="shared" si="7"/>
        <v>0</v>
      </c>
      <c r="BL7" s="25">
        <f t="shared" si="7"/>
        <v>0</v>
      </c>
      <c r="BM7" s="25">
        <f t="shared" si="7"/>
        <v>0</v>
      </c>
      <c r="BN7" s="25">
        <f t="shared" si="7"/>
        <v>0</v>
      </c>
      <c r="BO7" s="25"/>
      <c r="BP7" s="25"/>
      <c r="BQ7" s="25">
        <f t="shared" si="8"/>
        <v>0</v>
      </c>
      <c r="BR7" s="25">
        <f t="shared" si="9"/>
        <v>17000000</v>
      </c>
      <c r="BS7" s="27">
        <f t="shared" si="10"/>
        <v>8.8369721138581991E-2</v>
      </c>
      <c r="BT7" s="25">
        <f t="shared" si="11"/>
        <v>3788968</v>
      </c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>
        <f>+'[1]AGOSTO 2016'!$H$2261</f>
        <v>3788968</v>
      </c>
      <c r="CO7" s="27">
        <f t="shared" si="12"/>
        <v>0.91163027886141801</v>
      </c>
      <c r="CP7" s="25">
        <f t="shared" si="13"/>
        <v>39087347</v>
      </c>
      <c r="CQ7" s="25">
        <f t="shared" si="14"/>
        <v>0</v>
      </c>
      <c r="CR7" s="25">
        <f t="shared" si="14"/>
        <v>0</v>
      </c>
      <c r="CS7" s="25">
        <f t="shared" si="14"/>
        <v>0</v>
      </c>
      <c r="CT7" s="25">
        <f t="shared" si="14"/>
        <v>21000000</v>
      </c>
      <c r="CU7" s="25">
        <f t="shared" si="14"/>
        <v>0</v>
      </c>
      <c r="CV7" s="25">
        <f t="shared" si="14"/>
        <v>0</v>
      </c>
      <c r="CW7" s="25">
        <f t="shared" si="15"/>
        <v>0</v>
      </c>
      <c r="CX7" s="25">
        <f t="shared" si="15"/>
        <v>0</v>
      </c>
      <c r="CY7" s="25">
        <f t="shared" si="15"/>
        <v>0</v>
      </c>
      <c r="CZ7" s="25">
        <f t="shared" si="16"/>
        <v>0</v>
      </c>
      <c r="DA7" s="25">
        <f t="shared" si="16"/>
        <v>0</v>
      </c>
      <c r="DB7" s="25">
        <f t="shared" si="16"/>
        <v>0</v>
      </c>
      <c r="DC7" s="25">
        <f t="shared" si="17"/>
        <v>0</v>
      </c>
      <c r="DD7" s="25">
        <f t="shared" si="17"/>
        <v>0</v>
      </c>
      <c r="DE7" s="25">
        <f t="shared" si="17"/>
        <v>0</v>
      </c>
      <c r="DF7" s="25"/>
      <c r="DG7" s="25">
        <f t="shared" si="18"/>
        <v>0</v>
      </c>
      <c r="DH7" s="25">
        <f t="shared" si="18"/>
        <v>0</v>
      </c>
      <c r="DI7" s="25">
        <f t="shared" si="18"/>
        <v>18087347</v>
      </c>
    </row>
    <row r="8" spans="1:113" ht="61.5" customHeight="1" x14ac:dyDescent="0.25">
      <c r="A8" s="31"/>
      <c r="B8" s="169" t="s">
        <v>53</v>
      </c>
      <c r="C8" s="21" t="s">
        <v>54</v>
      </c>
      <c r="D8" s="22" t="s">
        <v>55</v>
      </c>
      <c r="E8" s="23">
        <v>310</v>
      </c>
      <c r="F8" s="24" t="s">
        <v>43</v>
      </c>
      <c r="G8" s="25">
        <f t="shared" si="0"/>
        <v>200000000</v>
      </c>
      <c r="H8" s="25"/>
      <c r="I8" s="25">
        <f>200000000-193378600</f>
        <v>6621400</v>
      </c>
      <c r="J8" s="25"/>
      <c r="K8" s="25">
        <f>193378600</f>
        <v>193378600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B8" s="27">
        <f t="shared" si="1"/>
        <v>0.99987499999999996</v>
      </c>
      <c r="AC8" s="25">
        <f t="shared" si="2"/>
        <v>199975000</v>
      </c>
      <c r="AD8" s="25"/>
      <c r="AE8" s="25"/>
      <c r="AF8" s="25">
        <f>+'[4]ENERO 2016'!$M$109</f>
        <v>6621400</v>
      </c>
      <c r="AG8" s="25"/>
      <c r="AH8" s="25">
        <f>+'[5]FEBRERO 2016'!$O$125</f>
        <v>193353600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7">
        <f t="shared" si="3"/>
        <v>1.2500000000004174E-4</v>
      </c>
      <c r="AY8" s="25">
        <f t="shared" si="4"/>
        <v>25000</v>
      </c>
      <c r="AZ8" s="25">
        <f t="shared" si="5"/>
        <v>0</v>
      </c>
      <c r="BA8" s="25">
        <f t="shared" si="6"/>
        <v>0</v>
      </c>
      <c r="BB8" s="25">
        <f t="shared" si="6"/>
        <v>0</v>
      </c>
      <c r="BC8" s="25">
        <f t="shared" si="7"/>
        <v>25000</v>
      </c>
      <c r="BD8" s="25">
        <f t="shared" si="7"/>
        <v>0</v>
      </c>
      <c r="BE8" s="25">
        <f t="shared" si="7"/>
        <v>0</v>
      </c>
      <c r="BF8" s="25">
        <f t="shared" si="7"/>
        <v>0</v>
      </c>
      <c r="BG8" s="25">
        <f t="shared" si="7"/>
        <v>0</v>
      </c>
      <c r="BH8" s="25">
        <f t="shared" si="7"/>
        <v>0</v>
      </c>
      <c r="BI8" s="25">
        <f t="shared" si="7"/>
        <v>0</v>
      </c>
      <c r="BJ8" s="25">
        <f t="shared" si="7"/>
        <v>0</v>
      </c>
      <c r="BK8" s="25">
        <f t="shared" si="7"/>
        <v>0</v>
      </c>
      <c r="BL8" s="25">
        <f t="shared" si="7"/>
        <v>0</v>
      </c>
      <c r="BM8" s="25">
        <f t="shared" si="7"/>
        <v>0</v>
      </c>
      <c r="BN8" s="25">
        <f t="shared" si="7"/>
        <v>0</v>
      </c>
      <c r="BO8" s="25"/>
      <c r="BP8" s="25"/>
      <c r="BQ8" s="25">
        <f t="shared" si="8"/>
        <v>0</v>
      </c>
      <c r="BR8" s="25">
        <f t="shared" si="9"/>
        <v>0</v>
      </c>
      <c r="BS8" s="27">
        <f t="shared" si="10"/>
        <v>0.57338447000000003</v>
      </c>
      <c r="BT8" s="25">
        <f t="shared" si="11"/>
        <v>114676894</v>
      </c>
      <c r="BU8" s="25"/>
      <c r="BV8" s="25"/>
      <c r="BW8" s="25">
        <f>+'[4]ENERO 2016'!$H$107</f>
        <v>6621400</v>
      </c>
      <c r="BX8" s="25"/>
      <c r="BY8" s="25">
        <f>+'[6]JULIO 2016'!$H$271-BW8</f>
        <v>108055494</v>
      </c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7">
        <f t="shared" si="12"/>
        <v>0.42661552999999997</v>
      </c>
      <c r="CP8" s="25">
        <f t="shared" si="13"/>
        <v>85323106</v>
      </c>
      <c r="CQ8" s="25">
        <f t="shared" si="14"/>
        <v>0</v>
      </c>
      <c r="CR8" s="25">
        <f t="shared" si="14"/>
        <v>0</v>
      </c>
      <c r="CS8" s="25">
        <f t="shared" si="14"/>
        <v>0</v>
      </c>
      <c r="CT8" s="25">
        <f t="shared" si="14"/>
        <v>85323106</v>
      </c>
      <c r="CU8" s="25">
        <f t="shared" si="14"/>
        <v>0</v>
      </c>
      <c r="CV8" s="25">
        <f t="shared" si="14"/>
        <v>0</v>
      </c>
      <c r="CW8" s="25">
        <f t="shared" si="15"/>
        <v>0</v>
      </c>
      <c r="CX8" s="25">
        <f t="shared" si="15"/>
        <v>0</v>
      </c>
      <c r="CY8" s="25">
        <f t="shared" si="15"/>
        <v>0</v>
      </c>
      <c r="CZ8" s="25">
        <f t="shared" si="16"/>
        <v>0</v>
      </c>
      <c r="DA8" s="25">
        <f t="shared" si="16"/>
        <v>0</v>
      </c>
      <c r="DB8" s="25">
        <f t="shared" si="16"/>
        <v>0</v>
      </c>
      <c r="DC8" s="25">
        <f t="shared" si="17"/>
        <v>0</v>
      </c>
      <c r="DD8" s="25">
        <f t="shared" si="17"/>
        <v>0</v>
      </c>
      <c r="DE8" s="25">
        <f t="shared" si="17"/>
        <v>0</v>
      </c>
      <c r="DF8" s="25"/>
      <c r="DG8" s="25">
        <f t="shared" si="18"/>
        <v>0</v>
      </c>
      <c r="DH8" s="25">
        <f t="shared" si="18"/>
        <v>0</v>
      </c>
      <c r="DI8" s="25">
        <f t="shared" si="18"/>
        <v>0</v>
      </c>
    </row>
    <row r="9" spans="1:113" ht="69" customHeight="1" x14ac:dyDescent="0.25">
      <c r="A9" s="31"/>
      <c r="B9" s="182"/>
      <c r="C9" s="21" t="s">
        <v>56</v>
      </c>
      <c r="D9" s="22" t="s">
        <v>57</v>
      </c>
      <c r="E9" s="23">
        <v>310</v>
      </c>
      <c r="F9" s="24" t="s">
        <v>58</v>
      </c>
      <c r="G9" s="25">
        <f t="shared" si="0"/>
        <v>539200000</v>
      </c>
      <c r="H9" s="25"/>
      <c r="I9" s="25">
        <f>150000000+21000000+193378600+29000000</f>
        <v>393378600</v>
      </c>
      <c r="J9" s="25"/>
      <c r="K9" s="25">
        <f>370000000-21000000-193378600-30800000-29000000</f>
        <v>95821400</v>
      </c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f>30000000+12000000+1000000+7000000</f>
        <v>50000000</v>
      </c>
      <c r="AA9" s="35"/>
      <c r="AB9" s="27">
        <f t="shared" si="1"/>
        <v>0.34143333642433232</v>
      </c>
      <c r="AC9" s="25">
        <f t="shared" si="2"/>
        <v>184100855</v>
      </c>
      <c r="AD9" s="25"/>
      <c r="AE9" s="25"/>
      <c r="AF9" s="25">
        <f>+'[1]AGOSTO 2016'!$M$339</f>
        <v>68550197</v>
      </c>
      <c r="AG9" s="25"/>
      <c r="AH9" s="25">
        <f>+'[1]AGOSTO 2016'!$O$339</f>
        <v>95047311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>
        <f>+'[1]AGOSTO 2016'!$AG$339</f>
        <v>20503347</v>
      </c>
      <c r="AX9" s="27">
        <f t="shared" si="3"/>
        <v>0.65856666357566773</v>
      </c>
      <c r="AY9" s="25">
        <f t="shared" si="4"/>
        <v>355099145</v>
      </c>
      <c r="AZ9" s="25">
        <f t="shared" si="5"/>
        <v>0</v>
      </c>
      <c r="BA9" s="25">
        <f t="shared" si="6"/>
        <v>324828403</v>
      </c>
      <c r="BB9" s="25">
        <f t="shared" si="6"/>
        <v>0</v>
      </c>
      <c r="BC9" s="25">
        <f t="shared" si="7"/>
        <v>774089</v>
      </c>
      <c r="BD9" s="25">
        <f t="shared" si="7"/>
        <v>0</v>
      </c>
      <c r="BE9" s="25">
        <f t="shared" si="7"/>
        <v>0</v>
      </c>
      <c r="BF9" s="25">
        <f t="shared" si="7"/>
        <v>0</v>
      </c>
      <c r="BG9" s="25">
        <f t="shared" si="7"/>
        <v>0</v>
      </c>
      <c r="BH9" s="25">
        <f t="shared" si="7"/>
        <v>0</v>
      </c>
      <c r="BI9" s="25">
        <f t="shared" si="7"/>
        <v>0</v>
      </c>
      <c r="BJ9" s="25">
        <f t="shared" si="7"/>
        <v>0</v>
      </c>
      <c r="BK9" s="25">
        <f t="shared" si="7"/>
        <v>0</v>
      </c>
      <c r="BL9" s="25">
        <f t="shared" si="7"/>
        <v>0</v>
      </c>
      <c r="BM9" s="25">
        <f t="shared" si="7"/>
        <v>0</v>
      </c>
      <c r="BN9" s="25">
        <f t="shared" si="7"/>
        <v>0</v>
      </c>
      <c r="BO9" s="25"/>
      <c r="BP9" s="25"/>
      <c r="BQ9" s="25">
        <f t="shared" si="8"/>
        <v>0</v>
      </c>
      <c r="BR9" s="25">
        <f t="shared" si="9"/>
        <v>29496653</v>
      </c>
      <c r="BS9" s="27">
        <f t="shared" si="10"/>
        <v>0.34051871476261125</v>
      </c>
      <c r="BT9" s="25">
        <f t="shared" si="11"/>
        <v>183607691</v>
      </c>
      <c r="BU9" s="25"/>
      <c r="BV9" s="25"/>
      <c r="BW9" s="25">
        <f>8604159+24792921+33653117</f>
        <v>67050197</v>
      </c>
      <c r="BX9" s="25"/>
      <c r="BY9" s="25">
        <f>+'[1]AGOSTO 2016'!$H$337-BW9-CN9</f>
        <v>96547311</v>
      </c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>
        <f>+'[1]AGOSTO 2016'!$H$408+'[1]AGOSTO 2016'!$H$434+'[1]AGOSTO 2016'!$H$438+'[1]AGOSTO 2016'!$H$441+'[1]AGOSTO 2016'!$H$449+'[1]AGOSTO 2016'!$H$457+'[1]AGOSTO 2016'!$H$459+'[1]AGOSTO 2016'!$H$466+'[1]AGOSTO 2016'!$H$467+'[1]AGOSTO 2016'!$H$472+'[1]AGOSTO 2016'!$H$490+'[1]AGOSTO 2016'!$H$492+'[1]AGOSTO 2016'!$H$493+'[1]AGOSTO 2016'!$H$506+'[1]AGOSTO 2016'!$H$521</f>
        <v>20010183</v>
      </c>
      <c r="CO9" s="27">
        <f t="shared" si="12"/>
        <v>0.6594812852373888</v>
      </c>
      <c r="CP9" s="25">
        <f t="shared" si="13"/>
        <v>355592309</v>
      </c>
      <c r="CQ9" s="25">
        <f t="shared" si="14"/>
        <v>0</v>
      </c>
      <c r="CR9" s="25">
        <f t="shared" si="14"/>
        <v>326328403</v>
      </c>
      <c r="CS9" s="25">
        <f t="shared" si="14"/>
        <v>0</v>
      </c>
      <c r="CT9" s="25">
        <f t="shared" si="14"/>
        <v>-725911</v>
      </c>
      <c r="CU9" s="25">
        <f t="shared" si="14"/>
        <v>0</v>
      </c>
      <c r="CV9" s="25">
        <f t="shared" si="14"/>
        <v>0</v>
      </c>
      <c r="CW9" s="25">
        <f t="shared" si="15"/>
        <v>0</v>
      </c>
      <c r="CX9" s="25">
        <f t="shared" si="15"/>
        <v>0</v>
      </c>
      <c r="CY9" s="25">
        <f t="shared" si="15"/>
        <v>0</v>
      </c>
      <c r="CZ9" s="25">
        <f t="shared" si="16"/>
        <v>0</v>
      </c>
      <c r="DA9" s="25">
        <f t="shared" si="16"/>
        <v>0</v>
      </c>
      <c r="DB9" s="25">
        <f t="shared" si="16"/>
        <v>0</v>
      </c>
      <c r="DC9" s="25">
        <f t="shared" si="17"/>
        <v>0</v>
      </c>
      <c r="DD9" s="25">
        <f t="shared" si="17"/>
        <v>0</v>
      </c>
      <c r="DE9" s="25">
        <f t="shared" si="17"/>
        <v>0</v>
      </c>
      <c r="DF9" s="25"/>
      <c r="DG9" s="25">
        <f t="shared" si="18"/>
        <v>0</v>
      </c>
      <c r="DH9" s="25">
        <f t="shared" si="18"/>
        <v>0</v>
      </c>
      <c r="DI9" s="25">
        <f t="shared" si="18"/>
        <v>29989817</v>
      </c>
    </row>
    <row r="10" spans="1:113" ht="19.5" customHeight="1" x14ac:dyDescent="0.25">
      <c r="A10" s="31"/>
      <c r="B10" s="182"/>
      <c r="C10" s="21" t="s">
        <v>59</v>
      </c>
      <c r="D10" s="22" t="s">
        <v>60</v>
      </c>
      <c r="E10" s="23">
        <v>310</v>
      </c>
      <c r="F10" s="24" t="s">
        <v>43</v>
      </c>
      <c r="G10" s="25">
        <f t="shared" si="0"/>
        <v>15000000</v>
      </c>
      <c r="H10" s="25"/>
      <c r="I10" s="25"/>
      <c r="J10" s="25"/>
      <c r="K10" s="25">
        <v>15000000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35"/>
      <c r="AB10" s="27">
        <f t="shared" si="1"/>
        <v>1</v>
      </c>
      <c r="AC10" s="25">
        <f t="shared" si="2"/>
        <v>15000000</v>
      </c>
      <c r="AD10" s="25"/>
      <c r="AE10" s="25"/>
      <c r="AF10" s="25"/>
      <c r="AG10" s="25"/>
      <c r="AH10" s="25">
        <f>+'[6]JULIO 2016'!$G$449</f>
        <v>15000000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7">
        <f t="shared" si="3"/>
        <v>0</v>
      </c>
      <c r="AY10" s="25">
        <f t="shared" si="4"/>
        <v>0</v>
      </c>
      <c r="AZ10" s="25">
        <f t="shared" ref="AZ10:AZ16" si="19">H10-AE10</f>
        <v>0</v>
      </c>
      <c r="BA10" s="25">
        <f t="shared" si="6"/>
        <v>0</v>
      </c>
      <c r="BB10" s="25">
        <f t="shared" si="6"/>
        <v>0</v>
      </c>
      <c r="BC10" s="25">
        <f t="shared" si="7"/>
        <v>0</v>
      </c>
      <c r="BD10" s="25">
        <f t="shared" si="7"/>
        <v>0</v>
      </c>
      <c r="BE10" s="25">
        <f t="shared" si="7"/>
        <v>0</v>
      </c>
      <c r="BF10" s="25">
        <f t="shared" si="7"/>
        <v>0</v>
      </c>
      <c r="BG10" s="25">
        <f t="shared" si="7"/>
        <v>0</v>
      </c>
      <c r="BH10" s="25">
        <f t="shared" si="7"/>
        <v>0</v>
      </c>
      <c r="BI10" s="25">
        <f t="shared" si="7"/>
        <v>0</v>
      </c>
      <c r="BJ10" s="25">
        <f t="shared" si="7"/>
        <v>0</v>
      </c>
      <c r="BK10" s="25">
        <f t="shared" si="7"/>
        <v>0</v>
      </c>
      <c r="BL10" s="25">
        <f t="shared" si="7"/>
        <v>0</v>
      </c>
      <c r="BM10" s="25">
        <f t="shared" si="7"/>
        <v>0</v>
      </c>
      <c r="BN10" s="25">
        <f t="shared" si="7"/>
        <v>0</v>
      </c>
      <c r="BO10" s="25"/>
      <c r="BP10" s="25"/>
      <c r="BQ10" s="25">
        <f t="shared" si="8"/>
        <v>0</v>
      </c>
      <c r="BR10" s="25">
        <f t="shared" si="9"/>
        <v>0</v>
      </c>
      <c r="BS10" s="27">
        <f t="shared" si="10"/>
        <v>0.85284666666666664</v>
      </c>
      <c r="BT10" s="25">
        <f t="shared" si="11"/>
        <v>12792700</v>
      </c>
      <c r="BU10" s="25"/>
      <c r="BV10" s="25"/>
      <c r="BW10" s="25"/>
      <c r="BX10" s="25"/>
      <c r="BY10" s="25">
        <f>+'[1]AGOSTO 2016'!$H$531</f>
        <v>12792700</v>
      </c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7">
        <f t="shared" si="12"/>
        <v>0.14715333333333336</v>
      </c>
      <c r="CP10" s="25">
        <f t="shared" si="13"/>
        <v>2207300</v>
      </c>
      <c r="CQ10" s="25">
        <f t="shared" si="14"/>
        <v>0</v>
      </c>
      <c r="CR10" s="25">
        <f t="shared" si="14"/>
        <v>0</v>
      </c>
      <c r="CS10" s="25">
        <f t="shared" si="14"/>
        <v>0</v>
      </c>
      <c r="CT10" s="25">
        <f t="shared" si="14"/>
        <v>2207300</v>
      </c>
      <c r="CU10" s="25">
        <f t="shared" si="14"/>
        <v>0</v>
      </c>
      <c r="CV10" s="25">
        <f t="shared" si="14"/>
        <v>0</v>
      </c>
      <c r="CW10" s="25">
        <f t="shared" si="15"/>
        <v>0</v>
      </c>
      <c r="CX10" s="25">
        <f t="shared" si="15"/>
        <v>0</v>
      </c>
      <c r="CY10" s="25">
        <f t="shared" si="15"/>
        <v>0</v>
      </c>
      <c r="CZ10" s="25">
        <f t="shared" si="16"/>
        <v>0</v>
      </c>
      <c r="DA10" s="25">
        <f t="shared" si="16"/>
        <v>0</v>
      </c>
      <c r="DB10" s="25">
        <f t="shared" si="16"/>
        <v>0</v>
      </c>
      <c r="DC10" s="25">
        <f t="shared" si="17"/>
        <v>0</v>
      </c>
      <c r="DD10" s="25">
        <f t="shared" si="17"/>
        <v>0</v>
      </c>
      <c r="DE10" s="25">
        <f t="shared" si="17"/>
        <v>0</v>
      </c>
      <c r="DF10" s="25"/>
      <c r="DG10" s="25">
        <f t="shared" si="18"/>
        <v>0</v>
      </c>
      <c r="DH10" s="25">
        <f t="shared" si="18"/>
        <v>0</v>
      </c>
      <c r="DI10" s="25">
        <f t="shared" si="18"/>
        <v>0</v>
      </c>
    </row>
    <row r="11" spans="1:113" ht="34.5" customHeight="1" x14ac:dyDescent="0.25">
      <c r="A11" s="31"/>
      <c r="B11" s="182"/>
      <c r="C11" s="21" t="s">
        <v>61</v>
      </c>
      <c r="D11" s="22" t="s">
        <v>62</v>
      </c>
      <c r="E11" s="23">
        <v>310</v>
      </c>
      <c r="F11" s="24" t="s">
        <v>43</v>
      </c>
      <c r="G11" s="25">
        <f t="shared" si="0"/>
        <v>50000000</v>
      </c>
      <c r="H11" s="36"/>
      <c r="I11" s="25">
        <v>50000000</v>
      </c>
      <c r="J11" s="36"/>
      <c r="K11" s="36"/>
      <c r="L11" s="25"/>
      <c r="M11" s="36"/>
      <c r="N11" s="30"/>
      <c r="O11" s="30"/>
      <c r="P11" s="30"/>
      <c r="Q11" s="30"/>
      <c r="R11" s="30"/>
      <c r="S11" s="30"/>
      <c r="T11" s="25"/>
      <c r="U11" s="30"/>
      <c r="V11" s="30"/>
      <c r="W11" s="30"/>
      <c r="X11" s="30"/>
      <c r="Y11" s="30"/>
      <c r="Z11" s="36"/>
      <c r="AA11" s="35"/>
      <c r="AB11" s="27">
        <f t="shared" si="1"/>
        <v>0.06</v>
      </c>
      <c r="AC11" s="25">
        <f t="shared" si="2"/>
        <v>3000000</v>
      </c>
      <c r="AD11" s="25"/>
      <c r="AE11" s="25"/>
      <c r="AF11" s="25"/>
      <c r="AG11" s="25"/>
      <c r="AH11" s="25">
        <f>+'[1]AGOSTO 2016'!$M$542</f>
        <v>3000000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7">
        <f t="shared" si="3"/>
        <v>0.94</v>
      </c>
      <c r="AY11" s="25">
        <f t="shared" si="4"/>
        <v>47000000</v>
      </c>
      <c r="AZ11" s="25">
        <f t="shared" si="19"/>
        <v>0</v>
      </c>
      <c r="BA11" s="25">
        <f t="shared" si="6"/>
        <v>50000000</v>
      </c>
      <c r="BB11" s="25">
        <f t="shared" si="6"/>
        <v>0</v>
      </c>
      <c r="BC11" s="25">
        <f t="shared" si="7"/>
        <v>-3000000</v>
      </c>
      <c r="BD11" s="25">
        <f t="shared" si="7"/>
        <v>0</v>
      </c>
      <c r="BE11" s="25">
        <f t="shared" si="7"/>
        <v>0</v>
      </c>
      <c r="BF11" s="25">
        <f t="shared" si="7"/>
        <v>0</v>
      </c>
      <c r="BG11" s="25">
        <f t="shared" si="7"/>
        <v>0</v>
      </c>
      <c r="BH11" s="25">
        <f t="shared" si="7"/>
        <v>0</v>
      </c>
      <c r="BI11" s="25">
        <f t="shared" si="7"/>
        <v>0</v>
      </c>
      <c r="BJ11" s="25">
        <f t="shared" si="7"/>
        <v>0</v>
      </c>
      <c r="BK11" s="25">
        <f t="shared" si="7"/>
        <v>0</v>
      </c>
      <c r="BL11" s="25">
        <f t="shared" si="7"/>
        <v>0</v>
      </c>
      <c r="BM11" s="25">
        <f t="shared" si="7"/>
        <v>0</v>
      </c>
      <c r="BN11" s="25">
        <f t="shared" si="7"/>
        <v>0</v>
      </c>
      <c r="BO11" s="25"/>
      <c r="BP11" s="25"/>
      <c r="BQ11" s="25">
        <f t="shared" si="8"/>
        <v>0</v>
      </c>
      <c r="BR11" s="25">
        <f t="shared" si="9"/>
        <v>0</v>
      </c>
      <c r="BS11" s="27">
        <f t="shared" si="10"/>
        <v>0.02</v>
      </c>
      <c r="BT11" s="25">
        <f t="shared" si="11"/>
        <v>1000000</v>
      </c>
      <c r="BU11" s="25"/>
      <c r="BV11" s="25"/>
      <c r="BW11" s="25">
        <f>+'[6]JULIO 2016'!$H$461</f>
        <v>1000000</v>
      </c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7">
        <f t="shared" si="12"/>
        <v>0.98</v>
      </c>
      <c r="CP11" s="25">
        <f t="shared" si="13"/>
        <v>49000000</v>
      </c>
      <c r="CQ11" s="25">
        <f t="shared" si="14"/>
        <v>0</v>
      </c>
      <c r="CR11" s="25">
        <f t="shared" si="14"/>
        <v>49000000</v>
      </c>
      <c r="CS11" s="25">
        <f t="shared" si="14"/>
        <v>0</v>
      </c>
      <c r="CT11" s="25">
        <f t="shared" si="14"/>
        <v>0</v>
      </c>
      <c r="CU11" s="25">
        <f t="shared" si="14"/>
        <v>0</v>
      </c>
      <c r="CV11" s="25">
        <f t="shared" si="14"/>
        <v>0</v>
      </c>
      <c r="CW11" s="25">
        <f t="shared" si="15"/>
        <v>0</v>
      </c>
      <c r="CX11" s="25">
        <f t="shared" si="15"/>
        <v>0</v>
      </c>
      <c r="CY11" s="25">
        <f t="shared" si="15"/>
        <v>0</v>
      </c>
      <c r="CZ11" s="25">
        <f t="shared" si="16"/>
        <v>0</v>
      </c>
      <c r="DA11" s="25">
        <f t="shared" si="16"/>
        <v>0</v>
      </c>
      <c r="DB11" s="25">
        <f t="shared" si="16"/>
        <v>0</v>
      </c>
      <c r="DC11" s="25">
        <f t="shared" si="17"/>
        <v>0</v>
      </c>
      <c r="DD11" s="25">
        <f t="shared" si="17"/>
        <v>0</v>
      </c>
      <c r="DE11" s="25">
        <f t="shared" si="17"/>
        <v>0</v>
      </c>
      <c r="DF11" s="25"/>
      <c r="DG11" s="25">
        <f t="shared" si="18"/>
        <v>0</v>
      </c>
      <c r="DH11" s="25">
        <f t="shared" si="18"/>
        <v>0</v>
      </c>
      <c r="DI11" s="25">
        <f t="shared" si="18"/>
        <v>0</v>
      </c>
    </row>
    <row r="12" spans="1:113" ht="21.75" customHeight="1" x14ac:dyDescent="0.25">
      <c r="A12" s="31"/>
      <c r="B12" s="170"/>
      <c r="C12" s="21" t="s">
        <v>63</v>
      </c>
      <c r="D12" s="22" t="s">
        <v>64</v>
      </c>
      <c r="E12" s="23">
        <v>310</v>
      </c>
      <c r="F12" s="24" t="s">
        <v>43</v>
      </c>
      <c r="G12" s="25">
        <f t="shared" si="0"/>
        <v>10000000</v>
      </c>
      <c r="H12" s="36"/>
      <c r="I12" s="25"/>
      <c r="J12" s="36"/>
      <c r="K12" s="25">
        <v>10000000</v>
      </c>
      <c r="L12" s="25"/>
      <c r="M12" s="36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6"/>
      <c r="AA12" s="35"/>
      <c r="AB12" s="27">
        <f t="shared" si="1"/>
        <v>1</v>
      </c>
      <c r="AC12" s="25">
        <f t="shared" si="2"/>
        <v>10000000</v>
      </c>
      <c r="AD12" s="25"/>
      <c r="AE12" s="25"/>
      <c r="AF12" s="25"/>
      <c r="AG12" s="25"/>
      <c r="AH12" s="25">
        <f>+'[7]JUNIO 2016'!$O$399</f>
        <v>10000000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7">
        <f t="shared" si="3"/>
        <v>0</v>
      </c>
      <c r="AY12" s="25">
        <f t="shared" si="4"/>
        <v>0</v>
      </c>
      <c r="AZ12" s="25">
        <f t="shared" si="19"/>
        <v>0</v>
      </c>
      <c r="BA12" s="25">
        <f t="shared" si="6"/>
        <v>0</v>
      </c>
      <c r="BB12" s="25">
        <f t="shared" si="6"/>
        <v>0</v>
      </c>
      <c r="BC12" s="25">
        <f t="shared" si="7"/>
        <v>0</v>
      </c>
      <c r="BD12" s="25">
        <f t="shared" si="7"/>
        <v>0</v>
      </c>
      <c r="BE12" s="25">
        <f t="shared" si="7"/>
        <v>0</v>
      </c>
      <c r="BF12" s="25">
        <f t="shared" si="7"/>
        <v>0</v>
      </c>
      <c r="BG12" s="25">
        <f t="shared" si="7"/>
        <v>0</v>
      </c>
      <c r="BH12" s="25">
        <f t="shared" si="7"/>
        <v>0</v>
      </c>
      <c r="BI12" s="25">
        <f t="shared" si="7"/>
        <v>0</v>
      </c>
      <c r="BJ12" s="25">
        <f t="shared" si="7"/>
        <v>0</v>
      </c>
      <c r="BK12" s="25">
        <f t="shared" si="7"/>
        <v>0</v>
      </c>
      <c r="BL12" s="25">
        <f t="shared" si="7"/>
        <v>0</v>
      </c>
      <c r="BM12" s="25">
        <f t="shared" si="7"/>
        <v>0</v>
      </c>
      <c r="BN12" s="25">
        <f t="shared" si="7"/>
        <v>0</v>
      </c>
      <c r="BO12" s="25"/>
      <c r="BP12" s="25"/>
      <c r="BQ12" s="25">
        <f t="shared" si="8"/>
        <v>0</v>
      </c>
      <c r="BR12" s="25">
        <f t="shared" si="9"/>
        <v>0</v>
      </c>
      <c r="BS12" s="27">
        <f t="shared" si="10"/>
        <v>0.78</v>
      </c>
      <c r="BT12" s="25">
        <f t="shared" si="11"/>
        <v>7800000</v>
      </c>
      <c r="BU12" s="25"/>
      <c r="BV12" s="25"/>
      <c r="BW12" s="25"/>
      <c r="BX12" s="25"/>
      <c r="BY12" s="25">
        <f>+'[1]AGOSTO 2016'!$H$546</f>
        <v>7800000</v>
      </c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7">
        <f t="shared" si="12"/>
        <v>0.21999999999999997</v>
      </c>
      <c r="CP12" s="25">
        <f t="shared" si="13"/>
        <v>2200000</v>
      </c>
      <c r="CQ12" s="25">
        <f t="shared" si="14"/>
        <v>0</v>
      </c>
      <c r="CR12" s="25">
        <f t="shared" si="14"/>
        <v>0</v>
      </c>
      <c r="CS12" s="25">
        <f t="shared" si="14"/>
        <v>0</v>
      </c>
      <c r="CT12" s="25">
        <f t="shared" si="14"/>
        <v>2200000</v>
      </c>
      <c r="CU12" s="25">
        <f t="shared" si="14"/>
        <v>0</v>
      </c>
      <c r="CV12" s="25">
        <f t="shared" si="14"/>
        <v>0</v>
      </c>
      <c r="CW12" s="25">
        <f t="shared" si="15"/>
        <v>0</v>
      </c>
      <c r="CX12" s="25">
        <f t="shared" si="15"/>
        <v>0</v>
      </c>
      <c r="CY12" s="25">
        <f t="shared" si="15"/>
        <v>0</v>
      </c>
      <c r="CZ12" s="25">
        <f t="shared" si="16"/>
        <v>0</v>
      </c>
      <c r="DA12" s="25">
        <f t="shared" si="16"/>
        <v>0</v>
      </c>
      <c r="DB12" s="25">
        <f t="shared" si="16"/>
        <v>0</v>
      </c>
      <c r="DC12" s="25">
        <f t="shared" si="17"/>
        <v>0</v>
      </c>
      <c r="DD12" s="25">
        <f t="shared" si="17"/>
        <v>0</v>
      </c>
      <c r="DE12" s="25">
        <f t="shared" si="17"/>
        <v>0</v>
      </c>
      <c r="DF12" s="25"/>
      <c r="DG12" s="25">
        <f t="shared" si="18"/>
        <v>0</v>
      </c>
      <c r="DH12" s="25">
        <f t="shared" si="18"/>
        <v>0</v>
      </c>
      <c r="DI12" s="25">
        <f t="shared" si="18"/>
        <v>0</v>
      </c>
    </row>
    <row r="13" spans="1:113" ht="78.75" customHeight="1" x14ac:dyDescent="0.25">
      <c r="A13" s="31"/>
      <c r="B13" s="34" t="s">
        <v>65</v>
      </c>
      <c r="C13" s="21" t="s">
        <v>66</v>
      </c>
      <c r="D13" s="22" t="s">
        <v>67</v>
      </c>
      <c r="E13" s="23">
        <v>510</v>
      </c>
      <c r="F13" s="24" t="s">
        <v>68</v>
      </c>
      <c r="G13" s="25">
        <f t="shared" si="0"/>
        <v>265804662</v>
      </c>
      <c r="H13" s="25"/>
      <c r="I13" s="25"/>
      <c r="J13" s="25"/>
      <c r="K13" s="25">
        <v>160000000</v>
      </c>
      <c r="L13" s="25">
        <v>14004396</v>
      </c>
      <c r="M13" s="25"/>
      <c r="N13" s="25"/>
      <c r="O13" s="25"/>
      <c r="P13" s="25"/>
      <c r="Q13" s="25"/>
      <c r="R13" s="25"/>
      <c r="S13" s="25"/>
      <c r="T13" s="25">
        <v>1796640</v>
      </c>
      <c r="U13" s="25"/>
      <c r="V13" s="25"/>
      <c r="W13" s="25"/>
      <c r="X13" s="25"/>
      <c r="Y13" s="25"/>
      <c r="Z13" s="25">
        <f>48000000+2053626+3000000+450000+19500000+7000000+10000000</f>
        <v>90003626</v>
      </c>
      <c r="AB13" s="27">
        <f t="shared" si="1"/>
        <v>0.92385733249479274</v>
      </c>
      <c r="AC13" s="25">
        <f t="shared" si="2"/>
        <v>245565586</v>
      </c>
      <c r="AD13" s="25"/>
      <c r="AE13" s="25"/>
      <c r="AF13" s="25"/>
      <c r="AG13" s="25"/>
      <c r="AH13" s="25">
        <v>160000000</v>
      </c>
      <c r="AI13" s="25">
        <f>+'[5]FEBRERO 2016'!$P$697</f>
        <v>14004396</v>
      </c>
      <c r="AJ13" s="25"/>
      <c r="AK13" s="25"/>
      <c r="AL13" s="25"/>
      <c r="AM13" s="25"/>
      <c r="AN13" s="25"/>
      <c r="AO13" s="25"/>
      <c r="AP13" s="25"/>
      <c r="AQ13" s="25">
        <f>+'[5]FEBRERO 2016'!$X$699</f>
        <v>1796640</v>
      </c>
      <c r="AR13" s="25"/>
      <c r="AS13" s="25"/>
      <c r="AT13" s="25"/>
      <c r="AU13" s="25"/>
      <c r="AV13" s="25"/>
      <c r="AW13" s="25">
        <f>+'[1]AGOSTO 2016'!$AG$2273</f>
        <v>69764550</v>
      </c>
      <c r="AX13" s="27">
        <f t="shared" si="3"/>
        <v>7.6142667505207262E-2</v>
      </c>
      <c r="AY13" s="25">
        <f t="shared" si="4"/>
        <v>20239076</v>
      </c>
      <c r="AZ13" s="25">
        <f t="shared" si="19"/>
        <v>0</v>
      </c>
      <c r="BA13" s="25">
        <f t="shared" si="6"/>
        <v>0</v>
      </c>
      <c r="BB13" s="25">
        <f t="shared" si="6"/>
        <v>0</v>
      </c>
      <c r="BC13" s="25">
        <f t="shared" si="7"/>
        <v>0</v>
      </c>
      <c r="BD13" s="25">
        <f t="shared" si="7"/>
        <v>0</v>
      </c>
      <c r="BE13" s="25">
        <f t="shared" si="7"/>
        <v>0</v>
      </c>
      <c r="BF13" s="25">
        <f t="shared" si="7"/>
        <v>0</v>
      </c>
      <c r="BG13" s="25">
        <f t="shared" si="7"/>
        <v>0</v>
      </c>
      <c r="BH13" s="25">
        <f t="shared" si="7"/>
        <v>0</v>
      </c>
      <c r="BI13" s="25">
        <f t="shared" si="7"/>
        <v>0</v>
      </c>
      <c r="BJ13" s="25">
        <f t="shared" si="7"/>
        <v>0</v>
      </c>
      <c r="BK13" s="25">
        <f t="shared" si="7"/>
        <v>0</v>
      </c>
      <c r="BL13" s="25">
        <f t="shared" si="7"/>
        <v>0</v>
      </c>
      <c r="BM13" s="25">
        <f t="shared" si="7"/>
        <v>0</v>
      </c>
      <c r="BN13" s="25">
        <f t="shared" si="7"/>
        <v>0</v>
      </c>
      <c r="BO13" s="25"/>
      <c r="BP13" s="25"/>
      <c r="BQ13" s="25">
        <f t="shared" si="8"/>
        <v>0</v>
      </c>
      <c r="BR13" s="25">
        <f t="shared" si="9"/>
        <v>20239076</v>
      </c>
      <c r="BS13" s="27">
        <f t="shared" si="10"/>
        <v>0.83806625633977783</v>
      </c>
      <c r="BT13" s="25">
        <f t="shared" si="11"/>
        <v>222761918</v>
      </c>
      <c r="BU13" s="25"/>
      <c r="BV13" s="25"/>
      <c r="BW13" s="25"/>
      <c r="BX13" s="25"/>
      <c r="BY13" s="25">
        <f>+'[1]AGOSTO 2016'!$H$2274+'[1]AGOSTO 2016'!$H$2276+'[1]AGOSTO 2016'!$H$2278+'[1]AGOSTO 2016'!$H$2280+'[1]AGOSTO 2016'!$H$2286+'[1]AGOSTO 2016'!$H$2288+'[1]AGOSTO 2016'!$H$2302+'[1]AGOSTO 2016'!$H$2322</f>
        <v>147658824</v>
      </c>
      <c r="BZ13" s="25">
        <f>+'[8]MAYO 2016'!$H$1359</f>
        <v>14004396</v>
      </c>
      <c r="CA13" s="25"/>
      <c r="CB13" s="25"/>
      <c r="CC13" s="25"/>
      <c r="CD13" s="25"/>
      <c r="CE13" s="25"/>
      <c r="CF13" s="25"/>
      <c r="CG13" s="25"/>
      <c r="CH13" s="25">
        <f>+'[8]MAYO 2016'!$H$1361</f>
        <v>1796640</v>
      </c>
      <c r="CI13" s="25"/>
      <c r="CJ13" s="25"/>
      <c r="CK13" s="25"/>
      <c r="CL13" s="25"/>
      <c r="CM13" s="25"/>
      <c r="CN13" s="25">
        <f>+'[1]AGOSTO 2016'!$H$2282+'[1]AGOSTO 2016'!$H$2290+'[1]AGOSTO 2016'!$H$2293+'[1]AGOSTO 2016'!$H$2297+'[1]AGOSTO 2016'!$H$2299+'[1]AGOSTO 2016'!$H$2301+'[1]AGOSTO 2016'!$H$2319+'[1]AGOSTO 2016'!$H$2320+'[1]AGOSTO 2016'!$H$2328+'[1]AGOSTO 2016'!$H$2331+'[1]AGOSTO 2016'!$H$2332+'[1]AGOSTO 2016'!$H$2333</f>
        <v>59302058</v>
      </c>
      <c r="CO13" s="27">
        <f t="shared" si="12"/>
        <v>0.16193374366022217</v>
      </c>
      <c r="CP13" s="25">
        <f t="shared" si="13"/>
        <v>43042744</v>
      </c>
      <c r="CQ13" s="25">
        <f t="shared" si="14"/>
        <v>0</v>
      </c>
      <c r="CR13" s="25">
        <f t="shared" si="14"/>
        <v>0</v>
      </c>
      <c r="CS13" s="25">
        <f t="shared" si="14"/>
        <v>0</v>
      </c>
      <c r="CT13" s="25">
        <f t="shared" si="14"/>
        <v>12341176</v>
      </c>
      <c r="CU13" s="25">
        <f t="shared" si="14"/>
        <v>0</v>
      </c>
      <c r="CV13" s="25">
        <f t="shared" si="14"/>
        <v>0</v>
      </c>
      <c r="CW13" s="25">
        <f t="shared" si="15"/>
        <v>0</v>
      </c>
      <c r="CX13" s="25">
        <f t="shared" si="15"/>
        <v>0</v>
      </c>
      <c r="CY13" s="25">
        <f t="shared" si="15"/>
        <v>0</v>
      </c>
      <c r="CZ13" s="25">
        <f t="shared" si="16"/>
        <v>0</v>
      </c>
      <c r="DA13" s="25">
        <f t="shared" si="16"/>
        <v>0</v>
      </c>
      <c r="DB13" s="25">
        <f t="shared" si="16"/>
        <v>0</v>
      </c>
      <c r="DC13" s="25">
        <f t="shared" si="17"/>
        <v>0</v>
      </c>
      <c r="DD13" s="25">
        <f t="shared" si="17"/>
        <v>0</v>
      </c>
      <c r="DE13" s="25">
        <f t="shared" si="17"/>
        <v>0</v>
      </c>
      <c r="DF13" s="25"/>
      <c r="DG13" s="25">
        <f t="shared" si="18"/>
        <v>0</v>
      </c>
      <c r="DH13" s="25">
        <f t="shared" si="18"/>
        <v>0</v>
      </c>
      <c r="DI13" s="25">
        <f t="shared" si="18"/>
        <v>30701568</v>
      </c>
    </row>
    <row r="14" spans="1:113" ht="60" customHeight="1" x14ac:dyDescent="0.25">
      <c r="A14" s="31"/>
      <c r="B14" s="169" t="s">
        <v>69</v>
      </c>
      <c r="C14" s="21" t="s">
        <v>70</v>
      </c>
      <c r="D14" s="22" t="s">
        <v>71</v>
      </c>
      <c r="E14" s="23">
        <v>510</v>
      </c>
      <c r="F14" s="24" t="s">
        <v>43</v>
      </c>
      <c r="G14" s="25">
        <f t="shared" si="0"/>
        <v>65000000</v>
      </c>
      <c r="H14" s="25"/>
      <c r="I14" s="25"/>
      <c r="J14" s="25"/>
      <c r="K14" s="25">
        <v>65000000</v>
      </c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B14" s="27">
        <f t="shared" si="1"/>
        <v>0.90550324615384614</v>
      </c>
      <c r="AC14" s="25">
        <f t="shared" si="2"/>
        <v>58857711</v>
      </c>
      <c r="AD14" s="25"/>
      <c r="AE14" s="25"/>
      <c r="AF14" s="25"/>
      <c r="AG14" s="25"/>
      <c r="AH14" s="25">
        <f>+'[1]AGOSTO 2016'!$O$2340</f>
        <v>58857711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7">
        <f t="shared" si="3"/>
        <v>9.4496753846153858E-2</v>
      </c>
      <c r="AY14" s="25">
        <f t="shared" si="4"/>
        <v>6142289</v>
      </c>
      <c r="AZ14" s="25">
        <f t="shared" si="19"/>
        <v>0</v>
      </c>
      <c r="BA14" s="25">
        <f t="shared" si="6"/>
        <v>0</v>
      </c>
      <c r="BB14" s="25">
        <f t="shared" si="6"/>
        <v>0</v>
      </c>
      <c r="BC14" s="25">
        <f t="shared" si="7"/>
        <v>6142289</v>
      </c>
      <c r="BD14" s="25">
        <f t="shared" si="7"/>
        <v>0</v>
      </c>
      <c r="BE14" s="25">
        <f t="shared" si="7"/>
        <v>0</v>
      </c>
      <c r="BF14" s="25">
        <f t="shared" si="7"/>
        <v>0</v>
      </c>
      <c r="BG14" s="25">
        <f t="shared" si="7"/>
        <v>0</v>
      </c>
      <c r="BH14" s="25">
        <f t="shared" si="7"/>
        <v>0</v>
      </c>
      <c r="BI14" s="25">
        <f t="shared" si="7"/>
        <v>0</v>
      </c>
      <c r="BJ14" s="25">
        <f t="shared" si="7"/>
        <v>0</v>
      </c>
      <c r="BK14" s="25">
        <f t="shared" si="7"/>
        <v>0</v>
      </c>
      <c r="BL14" s="25">
        <f t="shared" si="7"/>
        <v>0</v>
      </c>
      <c r="BM14" s="25">
        <f t="shared" si="7"/>
        <v>0</v>
      </c>
      <c r="BN14" s="25">
        <f t="shared" si="7"/>
        <v>0</v>
      </c>
      <c r="BO14" s="25"/>
      <c r="BP14" s="25">
        <f>+X14-AU14</f>
        <v>0</v>
      </c>
      <c r="BQ14" s="25">
        <f t="shared" si="8"/>
        <v>0</v>
      </c>
      <c r="BR14" s="25">
        <f t="shared" si="9"/>
        <v>0</v>
      </c>
      <c r="BS14" s="27">
        <f t="shared" si="10"/>
        <v>0.84011226153846152</v>
      </c>
      <c r="BT14" s="25">
        <f t="shared" si="11"/>
        <v>54607297</v>
      </c>
      <c r="BU14" s="25"/>
      <c r="BV14" s="25"/>
      <c r="BW14" s="25"/>
      <c r="BX14" s="25"/>
      <c r="BY14" s="25">
        <f>+'[1]AGOSTO 2016'!$H$2338</f>
        <v>54607297</v>
      </c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7">
        <f t="shared" si="12"/>
        <v>0.15988773846153848</v>
      </c>
      <c r="CP14" s="25">
        <f t="shared" si="13"/>
        <v>10392703</v>
      </c>
      <c r="CQ14" s="25">
        <f t="shared" si="14"/>
        <v>0</v>
      </c>
      <c r="CR14" s="25">
        <f t="shared" si="14"/>
        <v>0</v>
      </c>
      <c r="CS14" s="25">
        <f t="shared" si="14"/>
        <v>0</v>
      </c>
      <c r="CT14" s="25">
        <f t="shared" si="14"/>
        <v>10392703</v>
      </c>
      <c r="CU14" s="25">
        <f t="shared" si="14"/>
        <v>0</v>
      </c>
      <c r="CV14" s="25">
        <f t="shared" si="14"/>
        <v>0</v>
      </c>
      <c r="CW14" s="25">
        <f t="shared" si="15"/>
        <v>0</v>
      </c>
      <c r="CX14" s="25">
        <f t="shared" si="15"/>
        <v>0</v>
      </c>
      <c r="CY14" s="25">
        <f t="shared" si="15"/>
        <v>0</v>
      </c>
      <c r="CZ14" s="25">
        <f t="shared" si="16"/>
        <v>0</v>
      </c>
      <c r="DA14" s="25">
        <f t="shared" si="16"/>
        <v>0</v>
      </c>
      <c r="DB14" s="25">
        <f t="shared" si="16"/>
        <v>0</v>
      </c>
      <c r="DC14" s="25">
        <f t="shared" si="17"/>
        <v>0</v>
      </c>
      <c r="DD14" s="25">
        <f t="shared" si="17"/>
        <v>0</v>
      </c>
      <c r="DE14" s="25">
        <f t="shared" si="17"/>
        <v>0</v>
      </c>
      <c r="DF14" s="25"/>
      <c r="DG14" s="25">
        <f t="shared" si="18"/>
        <v>0</v>
      </c>
      <c r="DH14" s="25">
        <f t="shared" si="18"/>
        <v>0</v>
      </c>
      <c r="DI14" s="25">
        <f t="shared" si="18"/>
        <v>0</v>
      </c>
    </row>
    <row r="15" spans="1:113" ht="60" x14ac:dyDescent="0.25">
      <c r="A15" s="31"/>
      <c r="B15" s="182"/>
      <c r="C15" s="21" t="s">
        <v>72</v>
      </c>
      <c r="D15" s="22" t="s">
        <v>73</v>
      </c>
      <c r="E15" s="23">
        <v>510</v>
      </c>
      <c r="F15" s="24" t="s">
        <v>43</v>
      </c>
      <c r="G15" s="25">
        <f t="shared" si="0"/>
        <v>32000000</v>
      </c>
      <c r="H15" s="25"/>
      <c r="I15" s="25"/>
      <c r="J15" s="25"/>
      <c r="K15" s="25">
        <v>1568554</v>
      </c>
      <c r="L15" s="25"/>
      <c r="M15" s="25"/>
      <c r="N15" s="25"/>
      <c r="O15" s="25"/>
      <c r="P15" s="25"/>
      <c r="Q15" s="25"/>
      <c r="R15" s="25"/>
      <c r="S15" s="25">
        <v>30431446</v>
      </c>
      <c r="T15" s="25"/>
      <c r="U15" s="25"/>
      <c r="V15" s="25"/>
      <c r="W15" s="25"/>
      <c r="X15" s="25"/>
      <c r="Y15" s="25"/>
      <c r="Z15" s="25"/>
      <c r="AB15" s="27">
        <f t="shared" si="1"/>
        <v>0.77308631250000004</v>
      </c>
      <c r="AC15" s="25">
        <f t="shared" si="2"/>
        <v>24738762</v>
      </c>
      <c r="AD15" s="25"/>
      <c r="AE15" s="25"/>
      <c r="AF15" s="25"/>
      <c r="AG15" s="25"/>
      <c r="AH15" s="25">
        <f>+'[8]MAYO 2016'!$O$1393</f>
        <v>1550000</v>
      </c>
      <c r="AI15" s="25"/>
      <c r="AJ15" s="25"/>
      <c r="AK15" s="25"/>
      <c r="AL15" s="25"/>
      <c r="AM15" s="25"/>
      <c r="AN15" s="25"/>
      <c r="AO15" s="25"/>
      <c r="AP15" s="25">
        <f>+'[1]AGOSTO 2016'!$W$2380</f>
        <v>23188762</v>
      </c>
      <c r="AQ15" s="25"/>
      <c r="AR15" s="25"/>
      <c r="AS15" s="25"/>
      <c r="AT15" s="25"/>
      <c r="AU15" s="25"/>
      <c r="AV15" s="25"/>
      <c r="AW15" s="25"/>
      <c r="AX15" s="27">
        <f t="shared" si="3"/>
        <v>0.22691368749999996</v>
      </c>
      <c r="AY15" s="25">
        <f t="shared" si="4"/>
        <v>7261238</v>
      </c>
      <c r="AZ15" s="25">
        <f t="shared" si="19"/>
        <v>0</v>
      </c>
      <c r="BA15" s="25">
        <f t="shared" si="6"/>
        <v>0</v>
      </c>
      <c r="BB15" s="25">
        <f t="shared" si="6"/>
        <v>0</v>
      </c>
      <c r="BC15" s="25">
        <f t="shared" si="7"/>
        <v>18554</v>
      </c>
      <c r="BD15" s="25">
        <f t="shared" si="7"/>
        <v>0</v>
      </c>
      <c r="BE15" s="25">
        <f t="shared" si="7"/>
        <v>0</v>
      </c>
      <c r="BF15" s="25">
        <f t="shared" si="7"/>
        <v>0</v>
      </c>
      <c r="BG15" s="25">
        <f t="shared" si="7"/>
        <v>0</v>
      </c>
      <c r="BH15" s="25">
        <f t="shared" si="7"/>
        <v>0</v>
      </c>
      <c r="BI15" s="25">
        <f t="shared" si="7"/>
        <v>0</v>
      </c>
      <c r="BJ15" s="25">
        <f t="shared" si="7"/>
        <v>0</v>
      </c>
      <c r="BK15" s="25">
        <f t="shared" si="7"/>
        <v>7242684</v>
      </c>
      <c r="BL15" s="25">
        <f t="shared" si="7"/>
        <v>0</v>
      </c>
      <c r="BM15" s="25">
        <f t="shared" si="7"/>
        <v>0</v>
      </c>
      <c r="BN15" s="25">
        <f t="shared" si="7"/>
        <v>0</v>
      </c>
      <c r="BO15" s="25"/>
      <c r="BP15" s="25"/>
      <c r="BQ15" s="25">
        <f t="shared" si="8"/>
        <v>0</v>
      </c>
      <c r="BR15" s="25">
        <f t="shared" si="9"/>
        <v>0</v>
      </c>
      <c r="BS15" s="27">
        <f t="shared" si="10"/>
        <v>0.7727571875</v>
      </c>
      <c r="BT15" s="25">
        <f t="shared" si="11"/>
        <v>24728230</v>
      </c>
      <c r="BU15" s="25"/>
      <c r="BV15" s="25"/>
      <c r="BW15" s="25"/>
      <c r="BX15" s="25"/>
      <c r="BY15" s="25">
        <f>+'[8]MAYO 2016'!$O$1397</f>
        <v>1550000</v>
      </c>
      <c r="BZ15" s="25"/>
      <c r="CA15" s="25"/>
      <c r="CB15" s="25"/>
      <c r="CC15" s="25"/>
      <c r="CD15" s="25"/>
      <c r="CE15" s="25"/>
      <c r="CF15" s="25"/>
      <c r="CG15" s="25">
        <f>+'[1]AGOSTO 2016'!$H$2378-BY15</f>
        <v>23178230</v>
      </c>
      <c r="CH15" s="25"/>
      <c r="CI15" s="25"/>
      <c r="CJ15" s="25"/>
      <c r="CK15" s="25"/>
      <c r="CL15" s="25"/>
      <c r="CM15" s="25"/>
      <c r="CN15" s="25"/>
      <c r="CO15" s="27">
        <f t="shared" si="12"/>
        <v>0.2272428125</v>
      </c>
      <c r="CP15" s="25">
        <f t="shared" si="13"/>
        <v>7271770</v>
      </c>
      <c r="CQ15" s="25">
        <f t="shared" si="14"/>
        <v>0</v>
      </c>
      <c r="CR15" s="25">
        <f t="shared" si="14"/>
        <v>0</v>
      </c>
      <c r="CS15" s="25">
        <f t="shared" si="14"/>
        <v>0</v>
      </c>
      <c r="CT15" s="25">
        <f t="shared" si="14"/>
        <v>18554</v>
      </c>
      <c r="CU15" s="25">
        <f t="shared" si="14"/>
        <v>0</v>
      </c>
      <c r="CV15" s="25">
        <f t="shared" si="14"/>
        <v>0</v>
      </c>
      <c r="CW15" s="25">
        <f t="shared" si="15"/>
        <v>0</v>
      </c>
      <c r="CX15" s="25">
        <f t="shared" si="15"/>
        <v>0</v>
      </c>
      <c r="CY15" s="25">
        <f t="shared" si="15"/>
        <v>0</v>
      </c>
      <c r="CZ15" s="25">
        <f t="shared" si="16"/>
        <v>0</v>
      </c>
      <c r="DA15" s="25">
        <f t="shared" si="16"/>
        <v>0</v>
      </c>
      <c r="DB15" s="25">
        <f t="shared" si="16"/>
        <v>7253216</v>
      </c>
      <c r="DC15" s="25">
        <f t="shared" si="17"/>
        <v>0</v>
      </c>
      <c r="DD15" s="25">
        <f t="shared" si="17"/>
        <v>0</v>
      </c>
      <c r="DE15" s="25">
        <f t="shared" si="17"/>
        <v>0</v>
      </c>
      <c r="DF15" s="25"/>
      <c r="DG15" s="25">
        <f t="shared" si="18"/>
        <v>0</v>
      </c>
      <c r="DH15" s="25">
        <f t="shared" si="18"/>
        <v>0</v>
      </c>
      <c r="DI15" s="25">
        <f t="shared" si="18"/>
        <v>0</v>
      </c>
    </row>
    <row r="16" spans="1:113" ht="36.75" customHeight="1" x14ac:dyDescent="0.25">
      <c r="A16" s="31"/>
      <c r="B16" s="170"/>
      <c r="C16" s="21" t="s">
        <v>74</v>
      </c>
      <c r="D16" s="22" t="s">
        <v>75</v>
      </c>
      <c r="E16" s="23">
        <v>510</v>
      </c>
      <c r="F16" s="24" t="s">
        <v>76</v>
      </c>
      <c r="G16" s="25">
        <f t="shared" si="0"/>
        <v>0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>
        <f>4000000-4000000</f>
        <v>0</v>
      </c>
      <c r="AB16" s="27" t="e">
        <f t="shared" si="1"/>
        <v>#DIV/0!</v>
      </c>
      <c r="AC16" s="25">
        <f t="shared" si="2"/>
        <v>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7" t="e">
        <f t="shared" si="3"/>
        <v>#DIV/0!</v>
      </c>
      <c r="AY16" s="25">
        <f t="shared" si="4"/>
        <v>0</v>
      </c>
      <c r="AZ16" s="25">
        <f t="shared" si="19"/>
        <v>0</v>
      </c>
      <c r="BA16" s="25">
        <f t="shared" si="6"/>
        <v>0</v>
      </c>
      <c r="BB16" s="25">
        <f t="shared" si="6"/>
        <v>0</v>
      </c>
      <c r="BC16" s="25">
        <f t="shared" si="7"/>
        <v>0</v>
      </c>
      <c r="BD16" s="25">
        <f t="shared" si="7"/>
        <v>0</v>
      </c>
      <c r="BE16" s="25">
        <f t="shared" si="7"/>
        <v>0</v>
      </c>
      <c r="BF16" s="25">
        <f t="shared" si="7"/>
        <v>0</v>
      </c>
      <c r="BG16" s="25">
        <f t="shared" si="7"/>
        <v>0</v>
      </c>
      <c r="BH16" s="25">
        <f t="shared" si="7"/>
        <v>0</v>
      </c>
      <c r="BI16" s="25">
        <f t="shared" si="7"/>
        <v>0</v>
      </c>
      <c r="BJ16" s="25">
        <f t="shared" si="7"/>
        <v>0</v>
      </c>
      <c r="BK16" s="25">
        <f t="shared" si="7"/>
        <v>0</v>
      </c>
      <c r="BL16" s="25">
        <f t="shared" si="7"/>
        <v>0</v>
      </c>
      <c r="BM16" s="25">
        <f t="shared" si="7"/>
        <v>0</v>
      </c>
      <c r="BN16" s="25">
        <f t="shared" si="7"/>
        <v>0</v>
      </c>
      <c r="BO16" s="25"/>
      <c r="BP16" s="25"/>
      <c r="BQ16" s="25">
        <f t="shared" si="8"/>
        <v>0</v>
      </c>
      <c r="BR16" s="25">
        <f t="shared" si="9"/>
        <v>0</v>
      </c>
      <c r="BS16" s="27" t="e">
        <f t="shared" si="10"/>
        <v>#DIV/0!</v>
      </c>
      <c r="BT16" s="25">
        <f t="shared" si="11"/>
        <v>0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7" t="e">
        <f t="shared" si="12"/>
        <v>#DIV/0!</v>
      </c>
      <c r="CP16" s="25">
        <f t="shared" si="13"/>
        <v>0</v>
      </c>
      <c r="CQ16" s="25">
        <f t="shared" si="14"/>
        <v>0</v>
      </c>
      <c r="CR16" s="25">
        <f t="shared" si="14"/>
        <v>0</v>
      </c>
      <c r="CS16" s="25">
        <f t="shared" si="14"/>
        <v>0</v>
      </c>
      <c r="CT16" s="25">
        <f t="shared" si="14"/>
        <v>0</v>
      </c>
      <c r="CU16" s="25">
        <f t="shared" si="14"/>
        <v>0</v>
      </c>
      <c r="CV16" s="25">
        <f t="shared" si="14"/>
        <v>0</v>
      </c>
      <c r="CW16" s="25">
        <f t="shared" si="15"/>
        <v>0</v>
      </c>
      <c r="CX16" s="25">
        <f t="shared" si="15"/>
        <v>0</v>
      </c>
      <c r="CY16" s="25">
        <f t="shared" si="15"/>
        <v>0</v>
      </c>
      <c r="CZ16" s="25">
        <f t="shared" si="16"/>
        <v>0</v>
      </c>
      <c r="DA16" s="25">
        <f t="shared" si="16"/>
        <v>0</v>
      </c>
      <c r="DB16" s="25">
        <f t="shared" si="16"/>
        <v>0</v>
      </c>
      <c r="DC16" s="25">
        <f t="shared" si="17"/>
        <v>0</v>
      </c>
      <c r="DD16" s="25">
        <f t="shared" si="17"/>
        <v>0</v>
      </c>
      <c r="DE16" s="25">
        <f t="shared" si="17"/>
        <v>0</v>
      </c>
      <c r="DF16" s="25"/>
      <c r="DG16" s="25">
        <f t="shared" si="18"/>
        <v>0</v>
      </c>
      <c r="DH16" s="25">
        <f t="shared" si="18"/>
        <v>0</v>
      </c>
      <c r="DI16" s="25">
        <f t="shared" si="18"/>
        <v>0</v>
      </c>
    </row>
    <row r="17" spans="1:115" ht="21.75" customHeight="1" x14ac:dyDescent="0.25">
      <c r="A17" s="31"/>
      <c r="B17" s="37" t="s">
        <v>77</v>
      </c>
      <c r="C17" s="21" t="s">
        <v>78</v>
      </c>
      <c r="D17" s="22" t="s">
        <v>79</v>
      </c>
      <c r="E17" s="23">
        <v>510</v>
      </c>
      <c r="F17" s="24" t="s">
        <v>43</v>
      </c>
      <c r="G17" s="25">
        <f t="shared" si="0"/>
        <v>30800000</v>
      </c>
      <c r="H17" s="25"/>
      <c r="I17" s="25"/>
      <c r="J17" s="25"/>
      <c r="K17" s="25">
        <f>30800000</f>
        <v>30800000</v>
      </c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B17" s="27">
        <f t="shared" si="1"/>
        <v>1</v>
      </c>
      <c r="AC17" s="25">
        <f t="shared" si="2"/>
        <v>30800000</v>
      </c>
      <c r="AD17" s="25"/>
      <c r="AE17" s="25"/>
      <c r="AF17" s="25"/>
      <c r="AG17" s="25"/>
      <c r="AH17" s="25">
        <f>+'[7]JUNIO 2016'!$O$1629</f>
        <v>30800000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7">
        <f t="shared" si="3"/>
        <v>0</v>
      </c>
      <c r="AY17" s="25">
        <f t="shared" si="4"/>
        <v>0</v>
      </c>
      <c r="AZ17" s="25">
        <f>+H17</f>
        <v>0</v>
      </c>
      <c r="BA17" s="25">
        <f>+I17</f>
        <v>0</v>
      </c>
      <c r="BB17" s="25">
        <f>+J17</f>
        <v>0</v>
      </c>
      <c r="BC17" s="25">
        <f>+K17-AH17</f>
        <v>0</v>
      </c>
      <c r="BD17" s="25">
        <f t="shared" ref="BD17:BN17" si="20">+L17</f>
        <v>0</v>
      </c>
      <c r="BE17" s="25">
        <f t="shared" si="20"/>
        <v>0</v>
      </c>
      <c r="BF17" s="25">
        <f t="shared" si="20"/>
        <v>0</v>
      </c>
      <c r="BG17" s="25">
        <f t="shared" si="20"/>
        <v>0</v>
      </c>
      <c r="BH17" s="25">
        <f t="shared" si="20"/>
        <v>0</v>
      </c>
      <c r="BI17" s="25">
        <f t="shared" si="20"/>
        <v>0</v>
      </c>
      <c r="BJ17" s="25">
        <f t="shared" si="20"/>
        <v>0</v>
      </c>
      <c r="BK17" s="25">
        <f t="shared" si="20"/>
        <v>0</v>
      </c>
      <c r="BL17" s="25">
        <f t="shared" si="20"/>
        <v>0</v>
      </c>
      <c r="BM17" s="25">
        <f t="shared" si="20"/>
        <v>0</v>
      </c>
      <c r="BN17" s="25">
        <f t="shared" si="20"/>
        <v>0</v>
      </c>
      <c r="BO17" s="25"/>
      <c r="BP17" s="25">
        <f>+X17</f>
        <v>0</v>
      </c>
      <c r="BQ17" s="25">
        <f>+Y17</f>
        <v>0</v>
      </c>
      <c r="BR17" s="25">
        <f>+Z17</f>
        <v>0</v>
      </c>
      <c r="BS17" s="27">
        <f t="shared" si="10"/>
        <v>0.6428571428571429</v>
      </c>
      <c r="BT17" s="25">
        <f t="shared" si="11"/>
        <v>19800000</v>
      </c>
      <c r="BU17" s="25"/>
      <c r="BV17" s="25"/>
      <c r="BW17" s="25"/>
      <c r="BX17" s="25"/>
      <c r="BY17" s="25">
        <f>+'[6]JULIO 2016'!$H$1796</f>
        <v>19800000</v>
      </c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7">
        <f t="shared" si="12"/>
        <v>0.3571428571428571</v>
      </c>
      <c r="CP17" s="25">
        <f t="shared" si="13"/>
        <v>11000000</v>
      </c>
      <c r="CQ17" s="25">
        <f t="shared" si="14"/>
        <v>0</v>
      </c>
      <c r="CR17" s="25">
        <f t="shared" si="14"/>
        <v>0</v>
      </c>
      <c r="CS17" s="25">
        <f t="shared" si="14"/>
        <v>0</v>
      </c>
      <c r="CT17" s="25">
        <f t="shared" si="14"/>
        <v>11000000</v>
      </c>
      <c r="CU17" s="25">
        <f t="shared" si="14"/>
        <v>0</v>
      </c>
      <c r="CV17" s="25">
        <f t="shared" si="14"/>
        <v>0</v>
      </c>
      <c r="CW17" s="25">
        <f>N17-CB17</f>
        <v>0</v>
      </c>
      <c r="CX17" s="25">
        <f>O17-CC17</f>
        <v>0</v>
      </c>
      <c r="CY17" s="25">
        <f>P17-CD17</f>
        <v>0</v>
      </c>
      <c r="CZ17" s="25">
        <f t="shared" si="16"/>
        <v>0</v>
      </c>
      <c r="DA17" s="25">
        <f t="shared" si="16"/>
        <v>0</v>
      </c>
      <c r="DB17" s="25">
        <f t="shared" si="16"/>
        <v>0</v>
      </c>
      <c r="DC17" s="25">
        <f>T17-CH17</f>
        <v>0</v>
      </c>
      <c r="DD17" s="25">
        <f>U17-CI17</f>
        <v>0</v>
      </c>
      <c r="DE17" s="25">
        <f>V17-CJ17</f>
        <v>0</v>
      </c>
      <c r="DF17" s="25"/>
      <c r="DG17" s="25">
        <f>X17-CL17</f>
        <v>0</v>
      </c>
      <c r="DH17" s="25">
        <f>Y17-CM17</f>
        <v>0</v>
      </c>
      <c r="DI17" s="25">
        <f>Z17-CN17</f>
        <v>0</v>
      </c>
    </row>
    <row r="18" spans="1:115" ht="30.75" customHeight="1" x14ac:dyDescent="0.25">
      <c r="A18" s="31"/>
      <c r="B18" s="169" t="s">
        <v>80</v>
      </c>
      <c r="C18" s="21" t="s">
        <v>81</v>
      </c>
      <c r="D18" s="22" t="s">
        <v>82</v>
      </c>
      <c r="E18" s="23">
        <v>510</v>
      </c>
      <c r="F18" s="24" t="s">
        <v>43</v>
      </c>
      <c r="G18" s="25">
        <f t="shared" si="0"/>
        <v>17000000</v>
      </c>
      <c r="H18" s="25"/>
      <c r="I18" s="25"/>
      <c r="J18" s="25"/>
      <c r="K18" s="25">
        <v>17000000</v>
      </c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B18" s="27">
        <f t="shared" si="1"/>
        <v>0.53276688235294123</v>
      </c>
      <c r="AC18" s="25">
        <f t="shared" si="2"/>
        <v>9057037</v>
      </c>
      <c r="AD18" s="25"/>
      <c r="AE18" s="25"/>
      <c r="AF18" s="25"/>
      <c r="AG18" s="25"/>
      <c r="AH18" s="25">
        <f>+'[6]JULIO 2016'!$O$1808</f>
        <v>9057037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7">
        <f t="shared" si="3"/>
        <v>0.46723311764705877</v>
      </c>
      <c r="AY18" s="25">
        <f t="shared" si="4"/>
        <v>7942963</v>
      </c>
      <c r="AZ18" s="25">
        <f t="shared" ref="AZ18:BB19" si="21">H18-AE18</f>
        <v>0</v>
      </c>
      <c r="BA18" s="25">
        <f t="shared" si="21"/>
        <v>0</v>
      </c>
      <c r="BB18" s="25">
        <f t="shared" si="21"/>
        <v>0</v>
      </c>
      <c r="BC18" s="25">
        <f>+K18-AH18</f>
        <v>7942963</v>
      </c>
      <c r="BD18" s="25">
        <f t="shared" ref="BD18:BN19" si="22">+L18-AI18</f>
        <v>0</v>
      </c>
      <c r="BE18" s="25">
        <f t="shared" si="22"/>
        <v>0</v>
      </c>
      <c r="BF18" s="25">
        <f t="shared" si="22"/>
        <v>0</v>
      </c>
      <c r="BG18" s="25">
        <f t="shared" si="22"/>
        <v>0</v>
      </c>
      <c r="BH18" s="25">
        <f t="shared" si="22"/>
        <v>0</v>
      </c>
      <c r="BI18" s="25">
        <f t="shared" si="22"/>
        <v>0</v>
      </c>
      <c r="BJ18" s="25">
        <f t="shared" si="22"/>
        <v>0</v>
      </c>
      <c r="BK18" s="25">
        <f t="shared" si="22"/>
        <v>0</v>
      </c>
      <c r="BL18" s="25">
        <f t="shared" si="22"/>
        <v>0</v>
      </c>
      <c r="BM18" s="25">
        <f t="shared" si="22"/>
        <v>0</v>
      </c>
      <c r="BN18" s="25">
        <f t="shared" si="22"/>
        <v>0</v>
      </c>
      <c r="BO18" s="25"/>
      <c r="BP18" s="25"/>
      <c r="BQ18" s="25">
        <f>Y18-AV18</f>
        <v>0</v>
      </c>
      <c r="BR18" s="25">
        <f>+Z18-AW18</f>
        <v>0</v>
      </c>
      <c r="BS18" s="27">
        <f t="shared" si="10"/>
        <v>0.53276688235294123</v>
      </c>
      <c r="BT18" s="25">
        <f t="shared" si="11"/>
        <v>9057037</v>
      </c>
      <c r="BU18" s="25"/>
      <c r="BV18" s="25"/>
      <c r="BW18" s="25"/>
      <c r="BX18" s="25"/>
      <c r="BY18" s="25">
        <f>+'[6]JULIO 2016'!$H$1806</f>
        <v>9057037</v>
      </c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7">
        <f t="shared" si="12"/>
        <v>0.46723311764705877</v>
      </c>
      <c r="CP18" s="25">
        <f t="shared" si="13"/>
        <v>7942963</v>
      </c>
      <c r="CQ18" s="25">
        <f t="shared" si="14"/>
        <v>0</v>
      </c>
      <c r="CR18" s="25">
        <f t="shared" si="14"/>
        <v>0</v>
      </c>
      <c r="CS18" s="25">
        <f t="shared" si="14"/>
        <v>0</v>
      </c>
      <c r="CT18" s="25">
        <f t="shared" si="14"/>
        <v>7942963</v>
      </c>
      <c r="CU18" s="25">
        <f t="shared" si="14"/>
        <v>0</v>
      </c>
      <c r="CV18" s="25">
        <f t="shared" si="14"/>
        <v>0</v>
      </c>
      <c r="CW18" s="25">
        <f t="shared" ref="CW18:CY19" si="23">+N18-CB18</f>
        <v>0</v>
      </c>
      <c r="CX18" s="25">
        <f t="shared" si="23"/>
        <v>0</v>
      </c>
      <c r="CY18" s="25">
        <f t="shared" si="23"/>
        <v>0</v>
      </c>
      <c r="CZ18" s="25">
        <f t="shared" si="16"/>
        <v>0</v>
      </c>
      <c r="DA18" s="25">
        <f t="shared" si="16"/>
        <v>0</v>
      </c>
      <c r="DB18" s="25">
        <f t="shared" si="16"/>
        <v>0</v>
      </c>
      <c r="DC18" s="25">
        <f t="shared" ref="DC18:DE19" si="24">+T18-CH18</f>
        <v>0</v>
      </c>
      <c r="DD18" s="25">
        <f t="shared" si="24"/>
        <v>0</v>
      </c>
      <c r="DE18" s="25">
        <f t="shared" si="24"/>
        <v>0</v>
      </c>
      <c r="DF18" s="25"/>
      <c r="DG18" s="25">
        <f t="shared" ref="DG18:DI19" si="25">+X18-CL18</f>
        <v>0</v>
      </c>
      <c r="DH18" s="25">
        <f t="shared" si="25"/>
        <v>0</v>
      </c>
      <c r="DI18" s="25">
        <f t="shared" si="25"/>
        <v>0</v>
      </c>
    </row>
    <row r="19" spans="1:115" ht="28.5" customHeight="1" x14ac:dyDescent="0.25">
      <c r="A19" s="38"/>
      <c r="B19" s="170"/>
      <c r="C19" s="21" t="s">
        <v>83</v>
      </c>
      <c r="D19" s="22" t="s">
        <v>84</v>
      </c>
      <c r="E19" s="23">
        <v>510</v>
      </c>
      <c r="F19" s="24" t="s">
        <v>85</v>
      </c>
      <c r="G19" s="25">
        <f t="shared" si="0"/>
        <v>61000000</v>
      </c>
      <c r="H19" s="25"/>
      <c r="I19" s="25"/>
      <c r="J19" s="25"/>
      <c r="K19" s="25">
        <v>40000000</v>
      </c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>
        <v>21000000</v>
      </c>
      <c r="AB19" s="27">
        <f t="shared" si="1"/>
        <v>0.95467993442622956</v>
      </c>
      <c r="AC19" s="25">
        <f t="shared" si="2"/>
        <v>58235476</v>
      </c>
      <c r="AD19" s="25"/>
      <c r="AE19" s="25"/>
      <c r="AF19" s="25"/>
      <c r="AG19" s="25"/>
      <c r="AH19" s="25">
        <f>+'[1]AGOSTO 2016'!$O$2418</f>
        <v>37235476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>
        <f>+'[1]AGOSTO 2016'!$AG$2418</f>
        <v>21000000</v>
      </c>
      <c r="AX19" s="27">
        <f t="shared" si="3"/>
        <v>4.5320065573770441E-2</v>
      </c>
      <c r="AY19" s="25">
        <f t="shared" si="4"/>
        <v>2764524</v>
      </c>
      <c r="AZ19" s="25">
        <f t="shared" si="21"/>
        <v>0</v>
      </c>
      <c r="BA19" s="25">
        <f t="shared" si="21"/>
        <v>0</v>
      </c>
      <c r="BB19" s="25">
        <f t="shared" si="21"/>
        <v>0</v>
      </c>
      <c r="BC19" s="25">
        <f>+K19-AH19</f>
        <v>2764524</v>
      </c>
      <c r="BD19" s="25">
        <f t="shared" si="22"/>
        <v>0</v>
      </c>
      <c r="BE19" s="25">
        <f t="shared" si="22"/>
        <v>0</v>
      </c>
      <c r="BF19" s="25">
        <f t="shared" si="22"/>
        <v>0</v>
      </c>
      <c r="BG19" s="25">
        <f t="shared" si="22"/>
        <v>0</v>
      </c>
      <c r="BH19" s="25">
        <f t="shared" si="22"/>
        <v>0</v>
      </c>
      <c r="BI19" s="25">
        <f t="shared" si="22"/>
        <v>0</v>
      </c>
      <c r="BJ19" s="25">
        <f t="shared" si="22"/>
        <v>0</v>
      </c>
      <c r="BK19" s="25">
        <f t="shared" si="22"/>
        <v>0</v>
      </c>
      <c r="BL19" s="25">
        <f t="shared" si="22"/>
        <v>0</v>
      </c>
      <c r="BM19" s="25">
        <f t="shared" si="22"/>
        <v>0</v>
      </c>
      <c r="BN19" s="25">
        <f t="shared" si="22"/>
        <v>0</v>
      </c>
      <c r="BO19" s="25"/>
      <c r="BP19" s="25"/>
      <c r="BQ19" s="25">
        <f>Y19-AV19</f>
        <v>0</v>
      </c>
      <c r="BR19" s="25">
        <f>+Z19-AW19</f>
        <v>0</v>
      </c>
      <c r="BS19" s="27">
        <f t="shared" si="10"/>
        <v>0.56934737704918037</v>
      </c>
      <c r="BT19" s="25">
        <f t="shared" si="11"/>
        <v>34730190</v>
      </c>
      <c r="BU19" s="25"/>
      <c r="BV19" s="25"/>
      <c r="BW19" s="25"/>
      <c r="BX19" s="25"/>
      <c r="BY19" s="25">
        <f>+'[1]AGOSTO 2016'!$H$2416</f>
        <v>34730190</v>
      </c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7">
        <f t="shared" si="12"/>
        <v>0.43065262295081963</v>
      </c>
      <c r="CP19" s="25">
        <f t="shared" si="13"/>
        <v>26269810</v>
      </c>
      <c r="CQ19" s="25">
        <f t="shared" si="14"/>
        <v>0</v>
      </c>
      <c r="CR19" s="25">
        <f t="shared" si="14"/>
        <v>0</v>
      </c>
      <c r="CS19" s="25">
        <f t="shared" si="14"/>
        <v>0</v>
      </c>
      <c r="CT19" s="25">
        <f t="shared" si="14"/>
        <v>5269810</v>
      </c>
      <c r="CU19" s="25">
        <f t="shared" si="14"/>
        <v>0</v>
      </c>
      <c r="CV19" s="25">
        <f t="shared" si="14"/>
        <v>0</v>
      </c>
      <c r="CW19" s="25">
        <f t="shared" si="23"/>
        <v>0</v>
      </c>
      <c r="CX19" s="25">
        <f t="shared" si="23"/>
        <v>0</v>
      </c>
      <c r="CY19" s="25">
        <f t="shared" si="23"/>
        <v>0</v>
      </c>
      <c r="CZ19" s="25">
        <f t="shared" si="16"/>
        <v>0</v>
      </c>
      <c r="DA19" s="25">
        <f t="shared" si="16"/>
        <v>0</v>
      </c>
      <c r="DB19" s="25">
        <f t="shared" si="16"/>
        <v>0</v>
      </c>
      <c r="DC19" s="25">
        <f t="shared" si="24"/>
        <v>0</v>
      </c>
      <c r="DD19" s="25">
        <f t="shared" si="24"/>
        <v>0</v>
      </c>
      <c r="DE19" s="25">
        <f t="shared" si="24"/>
        <v>0</v>
      </c>
      <c r="DF19" s="25"/>
      <c r="DG19" s="25">
        <f t="shared" si="25"/>
        <v>0</v>
      </c>
      <c r="DH19" s="25">
        <f t="shared" si="25"/>
        <v>0</v>
      </c>
      <c r="DI19" s="25">
        <f t="shared" si="25"/>
        <v>21000000</v>
      </c>
    </row>
    <row r="20" spans="1:115" s="47" customFormat="1" ht="17.25" customHeight="1" thickBot="1" x14ac:dyDescent="0.3">
      <c r="A20" s="39"/>
      <c r="B20" s="189" t="s">
        <v>86</v>
      </c>
      <c r="C20" s="190"/>
      <c r="D20" s="190"/>
      <c r="E20" s="191"/>
      <c r="F20" s="40"/>
      <c r="G20" s="41">
        <f t="shared" ref="G20:V20" si="26">SUM(G4:G19)</f>
        <v>1437480977</v>
      </c>
      <c r="H20" s="41">
        <f t="shared" si="26"/>
        <v>0</v>
      </c>
      <c r="I20" s="41">
        <f t="shared" si="26"/>
        <v>450000000</v>
      </c>
      <c r="J20" s="41">
        <f t="shared" si="26"/>
        <v>0</v>
      </c>
      <c r="K20" s="41">
        <f t="shared" si="26"/>
        <v>749568554</v>
      </c>
      <c r="L20" s="41">
        <f t="shared" si="26"/>
        <v>14004396</v>
      </c>
      <c r="M20" s="41">
        <f t="shared" si="26"/>
        <v>0</v>
      </c>
      <c r="N20" s="41">
        <f t="shared" si="26"/>
        <v>0</v>
      </c>
      <c r="O20" s="41">
        <f t="shared" si="26"/>
        <v>0</v>
      </c>
      <c r="P20" s="41">
        <f t="shared" si="26"/>
        <v>0</v>
      </c>
      <c r="Q20" s="41">
        <f t="shared" si="26"/>
        <v>0</v>
      </c>
      <c r="R20" s="41">
        <f t="shared" si="26"/>
        <v>0</v>
      </c>
      <c r="S20" s="41">
        <f t="shared" si="26"/>
        <v>30431446</v>
      </c>
      <c r="T20" s="41">
        <f t="shared" si="26"/>
        <v>1796640</v>
      </c>
      <c r="U20" s="41">
        <f t="shared" si="26"/>
        <v>0</v>
      </c>
      <c r="V20" s="41">
        <f t="shared" si="26"/>
        <v>0</v>
      </c>
      <c r="W20" s="41"/>
      <c r="X20" s="41">
        <f>SUM(X4:X19)</f>
        <v>0</v>
      </c>
      <c r="Y20" s="41">
        <f>SUM(Y4:Y19)</f>
        <v>0</v>
      </c>
      <c r="Z20" s="41">
        <f>SUM(Z4:Z19)</f>
        <v>191679941</v>
      </c>
      <c r="AA20" s="42"/>
      <c r="AB20" s="43">
        <f t="shared" si="1"/>
        <v>0.64029251289354627</v>
      </c>
      <c r="AC20" s="44">
        <f>SUM(AC4:AC19)</f>
        <v>920408307</v>
      </c>
      <c r="AD20" s="44"/>
      <c r="AE20" s="44">
        <f t="shared" ref="AE20:AW20" si="27">SUM(AE4:AE19)</f>
        <v>0</v>
      </c>
      <c r="AF20" s="44">
        <f t="shared" si="27"/>
        <v>75171597</v>
      </c>
      <c r="AG20" s="44">
        <f t="shared" si="27"/>
        <v>0</v>
      </c>
      <c r="AH20" s="44">
        <f t="shared" si="27"/>
        <v>684901135</v>
      </c>
      <c r="AI20" s="44">
        <f t="shared" si="27"/>
        <v>14004396</v>
      </c>
      <c r="AJ20" s="44">
        <f t="shared" si="27"/>
        <v>0</v>
      </c>
      <c r="AK20" s="44">
        <f t="shared" si="27"/>
        <v>0</v>
      </c>
      <c r="AL20" s="44">
        <f t="shared" si="27"/>
        <v>0</v>
      </c>
      <c r="AM20" s="44">
        <f t="shared" si="27"/>
        <v>0</v>
      </c>
      <c r="AN20" s="44">
        <f t="shared" si="27"/>
        <v>0</v>
      </c>
      <c r="AO20" s="44">
        <f t="shared" si="27"/>
        <v>0</v>
      </c>
      <c r="AP20" s="44">
        <f t="shared" si="27"/>
        <v>23188762</v>
      </c>
      <c r="AQ20" s="44">
        <f t="shared" si="27"/>
        <v>1796640</v>
      </c>
      <c r="AR20" s="44">
        <f t="shared" si="27"/>
        <v>0</v>
      </c>
      <c r="AS20" s="44">
        <f t="shared" si="27"/>
        <v>0</v>
      </c>
      <c r="AT20" s="44">
        <f t="shared" si="27"/>
        <v>0</v>
      </c>
      <c r="AU20" s="44">
        <f t="shared" si="27"/>
        <v>0</v>
      </c>
      <c r="AV20" s="44">
        <f t="shared" si="27"/>
        <v>0</v>
      </c>
      <c r="AW20" s="44">
        <f t="shared" si="27"/>
        <v>121345777</v>
      </c>
      <c r="AX20" s="45">
        <f t="shared" si="3"/>
        <v>0.35970748710645373</v>
      </c>
      <c r="AY20" s="44">
        <f t="shared" ref="AY20:BN20" si="28">SUM(AY4:AY19)</f>
        <v>517072670</v>
      </c>
      <c r="AZ20" s="44">
        <f t="shared" si="28"/>
        <v>0</v>
      </c>
      <c r="BA20" s="44">
        <f t="shared" si="28"/>
        <v>374828403</v>
      </c>
      <c r="BB20" s="44">
        <f t="shared" si="28"/>
        <v>0</v>
      </c>
      <c r="BC20" s="44">
        <f t="shared" si="28"/>
        <v>64667419</v>
      </c>
      <c r="BD20" s="44">
        <f t="shared" si="28"/>
        <v>0</v>
      </c>
      <c r="BE20" s="44">
        <f t="shared" si="28"/>
        <v>0</v>
      </c>
      <c r="BF20" s="44">
        <f t="shared" si="28"/>
        <v>0</v>
      </c>
      <c r="BG20" s="44">
        <f t="shared" si="28"/>
        <v>0</v>
      </c>
      <c r="BH20" s="44">
        <f t="shared" si="28"/>
        <v>0</v>
      </c>
      <c r="BI20" s="44">
        <f t="shared" si="28"/>
        <v>0</v>
      </c>
      <c r="BJ20" s="44">
        <f t="shared" si="28"/>
        <v>0</v>
      </c>
      <c r="BK20" s="44">
        <f t="shared" si="28"/>
        <v>7242684</v>
      </c>
      <c r="BL20" s="44">
        <f t="shared" si="28"/>
        <v>0</v>
      </c>
      <c r="BM20" s="44">
        <f t="shared" si="28"/>
        <v>0</v>
      </c>
      <c r="BN20" s="44">
        <f t="shared" si="28"/>
        <v>0</v>
      </c>
      <c r="BO20" s="44"/>
      <c r="BP20" s="44">
        <f>SUM(BP4:BP19)</f>
        <v>0</v>
      </c>
      <c r="BQ20" s="44">
        <f>SUM(BQ4:BQ19)</f>
        <v>0</v>
      </c>
      <c r="BR20" s="44">
        <f>SUM(BR4:BR19)</f>
        <v>70334164</v>
      </c>
      <c r="BS20" s="45">
        <f t="shared" si="10"/>
        <v>0.53056511578448529</v>
      </c>
      <c r="BT20" s="44">
        <f t="shared" ref="BT20:CJ20" si="29">SUM(BT4:BT19)</f>
        <v>762677261</v>
      </c>
      <c r="BU20" s="44">
        <f t="shared" si="29"/>
        <v>0</v>
      </c>
      <c r="BV20" s="44">
        <f t="shared" si="29"/>
        <v>0</v>
      </c>
      <c r="BW20" s="44">
        <f t="shared" si="29"/>
        <v>74671597</v>
      </c>
      <c r="BX20" s="44">
        <f t="shared" si="29"/>
        <v>0</v>
      </c>
      <c r="BY20" s="44">
        <f t="shared" si="29"/>
        <v>560725189</v>
      </c>
      <c r="BZ20" s="44">
        <f t="shared" si="29"/>
        <v>14004396</v>
      </c>
      <c r="CA20" s="44">
        <f t="shared" si="29"/>
        <v>0</v>
      </c>
      <c r="CB20" s="44">
        <f t="shared" si="29"/>
        <v>0</v>
      </c>
      <c r="CC20" s="44">
        <f t="shared" si="29"/>
        <v>0</v>
      </c>
      <c r="CD20" s="44">
        <f t="shared" si="29"/>
        <v>0</v>
      </c>
      <c r="CE20" s="44">
        <f t="shared" si="29"/>
        <v>0</v>
      </c>
      <c r="CF20" s="44">
        <f t="shared" si="29"/>
        <v>0</v>
      </c>
      <c r="CG20" s="44">
        <f t="shared" si="29"/>
        <v>23178230</v>
      </c>
      <c r="CH20" s="44">
        <f t="shared" si="29"/>
        <v>1796640</v>
      </c>
      <c r="CI20" s="44">
        <f t="shared" si="29"/>
        <v>0</v>
      </c>
      <c r="CJ20" s="44">
        <f t="shared" si="29"/>
        <v>0</v>
      </c>
      <c r="CK20" s="44"/>
      <c r="CL20" s="44">
        <f>SUM(CL4:CL19)</f>
        <v>0</v>
      </c>
      <c r="CM20" s="44">
        <f>SUM(CM4:CM19)</f>
        <v>0</v>
      </c>
      <c r="CN20" s="44">
        <f>SUM(CN4:CN19)</f>
        <v>88301209</v>
      </c>
      <c r="CO20" s="45">
        <f t="shared" si="12"/>
        <v>0.46943488421551471</v>
      </c>
      <c r="CP20" s="44">
        <f t="shared" ref="CP20:DI20" si="30">SUM(CP4:CP19)</f>
        <v>674803716</v>
      </c>
      <c r="CQ20" s="44">
        <f t="shared" si="30"/>
        <v>0</v>
      </c>
      <c r="CR20" s="44">
        <f t="shared" si="30"/>
        <v>375328403</v>
      </c>
      <c r="CS20" s="44">
        <f t="shared" si="30"/>
        <v>0</v>
      </c>
      <c r="CT20" s="44">
        <f t="shared" si="30"/>
        <v>188843365</v>
      </c>
      <c r="CU20" s="44">
        <f t="shared" si="30"/>
        <v>0</v>
      </c>
      <c r="CV20" s="44">
        <f t="shared" si="30"/>
        <v>0</v>
      </c>
      <c r="CW20" s="44">
        <f t="shared" si="30"/>
        <v>0</v>
      </c>
      <c r="CX20" s="44">
        <f t="shared" si="30"/>
        <v>0</v>
      </c>
      <c r="CY20" s="44">
        <f t="shared" si="30"/>
        <v>0</v>
      </c>
      <c r="CZ20" s="44">
        <f t="shared" si="30"/>
        <v>0</v>
      </c>
      <c r="DA20" s="44">
        <f t="shared" si="30"/>
        <v>0</v>
      </c>
      <c r="DB20" s="44">
        <f t="shared" si="30"/>
        <v>7253216</v>
      </c>
      <c r="DC20" s="44">
        <f t="shared" si="30"/>
        <v>0</v>
      </c>
      <c r="DD20" s="44">
        <f t="shared" si="30"/>
        <v>0</v>
      </c>
      <c r="DE20" s="44">
        <f t="shared" si="30"/>
        <v>0</v>
      </c>
      <c r="DF20" s="44">
        <f t="shared" si="30"/>
        <v>0</v>
      </c>
      <c r="DG20" s="44">
        <f t="shared" si="30"/>
        <v>0</v>
      </c>
      <c r="DH20" s="44">
        <f t="shared" si="30"/>
        <v>0</v>
      </c>
      <c r="DI20" s="46">
        <f t="shared" si="30"/>
        <v>103378732</v>
      </c>
    </row>
    <row r="21" spans="1:115" ht="40.5" customHeight="1" thickTop="1" x14ac:dyDescent="0.25">
      <c r="A21" s="20" t="s">
        <v>87</v>
      </c>
      <c r="B21" s="192" t="s">
        <v>88</v>
      </c>
      <c r="C21" s="21" t="s">
        <v>89</v>
      </c>
      <c r="D21" s="22" t="s">
        <v>90</v>
      </c>
      <c r="E21" s="23">
        <v>410</v>
      </c>
      <c r="F21" s="48" t="s">
        <v>91</v>
      </c>
      <c r="G21" s="25">
        <f t="shared" ref="G21:G57" si="31">SUM(H21:Z21)</f>
        <v>450000000</v>
      </c>
      <c r="H21" s="49"/>
      <c r="I21" s="25">
        <v>450000000</v>
      </c>
      <c r="J21" s="50"/>
      <c r="K21" s="25"/>
      <c r="L21" s="49"/>
      <c r="M21" s="50"/>
      <c r="N21" s="50"/>
      <c r="O21" s="50"/>
      <c r="P21" s="50"/>
      <c r="Q21" s="51"/>
      <c r="R21" s="50"/>
      <c r="S21" s="50"/>
      <c r="T21" s="50"/>
      <c r="U21" s="50"/>
      <c r="V21" s="50"/>
      <c r="W21" s="50"/>
      <c r="X21" s="50"/>
      <c r="Y21" s="50"/>
      <c r="Z21" s="50"/>
      <c r="AB21" s="52">
        <f t="shared" si="1"/>
        <v>0.99897389333333331</v>
      </c>
      <c r="AC21" s="25">
        <f t="shared" ref="AC21:AC57" si="32">SUM(AD21:AW21)</f>
        <v>449538252</v>
      </c>
      <c r="AD21" s="25"/>
      <c r="AE21" s="25"/>
      <c r="AF21" s="25">
        <f>+'[1]AGOSTO 2016'!$M$962</f>
        <v>449538252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7">
        <f t="shared" si="3"/>
        <v>1.0261066666666929E-3</v>
      </c>
      <c r="AY21" s="25">
        <f t="shared" ref="AY21:AY57" si="33">SUM(AZ21:BR21)</f>
        <v>461748</v>
      </c>
      <c r="AZ21" s="25">
        <f t="shared" ref="AZ21:BN57" si="34">H21-AE21</f>
        <v>0</v>
      </c>
      <c r="BA21" s="25">
        <f t="shared" si="34"/>
        <v>461748</v>
      </c>
      <c r="BB21" s="25">
        <f t="shared" si="34"/>
        <v>0</v>
      </c>
      <c r="BC21" s="25">
        <f t="shared" ref="BC21:BN35" si="35">+K21-AH21</f>
        <v>0</v>
      </c>
      <c r="BD21" s="25">
        <f t="shared" si="35"/>
        <v>0</v>
      </c>
      <c r="BE21" s="25">
        <f t="shared" si="35"/>
        <v>0</v>
      </c>
      <c r="BF21" s="25">
        <f t="shared" si="35"/>
        <v>0</v>
      </c>
      <c r="BG21" s="25">
        <f t="shared" si="35"/>
        <v>0</v>
      </c>
      <c r="BH21" s="25">
        <f t="shared" si="35"/>
        <v>0</v>
      </c>
      <c r="BI21" s="25">
        <f t="shared" si="35"/>
        <v>0</v>
      </c>
      <c r="BJ21" s="25">
        <f t="shared" si="35"/>
        <v>0</v>
      </c>
      <c r="BK21" s="25">
        <f t="shared" si="35"/>
        <v>0</v>
      </c>
      <c r="BL21" s="25">
        <f t="shared" si="35"/>
        <v>0</v>
      </c>
      <c r="BM21" s="25">
        <f t="shared" si="35"/>
        <v>0</v>
      </c>
      <c r="BN21" s="25">
        <f t="shared" si="35"/>
        <v>0</v>
      </c>
      <c r="BO21" s="25"/>
      <c r="BP21" s="25"/>
      <c r="BQ21" s="25"/>
      <c r="BR21" s="25">
        <f t="shared" ref="BR21:BR35" si="36">+Z21-AW21</f>
        <v>0</v>
      </c>
      <c r="BS21" s="27">
        <f t="shared" si="10"/>
        <v>0.28551611555555556</v>
      </c>
      <c r="BT21" s="25">
        <f t="shared" ref="BT21:BT57" si="37">SUM(BU21:CN21)</f>
        <v>128482252</v>
      </c>
      <c r="BU21" s="25"/>
      <c r="BV21" s="25"/>
      <c r="BW21" s="25">
        <f>+'[1]AGOSTO 2016'!$H$960</f>
        <v>128482252</v>
      </c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7">
        <f t="shared" si="12"/>
        <v>0.71448388444444444</v>
      </c>
      <c r="CP21" s="25">
        <f t="shared" ref="CP21:CP57" si="38">SUM(CQ21:DI21)</f>
        <v>321517748</v>
      </c>
      <c r="CQ21" s="25">
        <f t="shared" ref="CQ21:CV57" si="39">H21-BV21</f>
        <v>0</v>
      </c>
      <c r="CR21" s="25">
        <f t="shared" si="39"/>
        <v>321517748</v>
      </c>
      <c r="CS21" s="25">
        <f t="shared" si="39"/>
        <v>0</v>
      </c>
      <c r="CT21" s="25">
        <f t="shared" si="39"/>
        <v>0</v>
      </c>
      <c r="CU21" s="25">
        <f t="shared" si="39"/>
        <v>0</v>
      </c>
      <c r="CV21" s="25">
        <f t="shared" si="39"/>
        <v>0</v>
      </c>
      <c r="CW21" s="25">
        <f t="shared" ref="CW21:CY35" si="40">+N21-CB21</f>
        <v>0</v>
      </c>
      <c r="CX21" s="25">
        <f t="shared" si="40"/>
        <v>0</v>
      </c>
      <c r="CY21" s="25">
        <f t="shared" si="40"/>
        <v>0</v>
      </c>
      <c r="CZ21" s="25">
        <f t="shared" ref="CZ21:DE45" si="41">Q21-CE21</f>
        <v>0</v>
      </c>
      <c r="DA21" s="25">
        <f t="shared" si="41"/>
        <v>0</v>
      </c>
      <c r="DB21" s="25">
        <f t="shared" si="41"/>
        <v>0</v>
      </c>
      <c r="DC21" s="25">
        <f t="shared" ref="DC21:DE29" si="42">+T21-CH21</f>
        <v>0</v>
      </c>
      <c r="DD21" s="25">
        <f t="shared" si="42"/>
        <v>0</v>
      </c>
      <c r="DE21" s="25">
        <f t="shared" si="42"/>
        <v>0</v>
      </c>
      <c r="DF21" s="25"/>
      <c r="DG21" s="25">
        <f t="shared" ref="DG21:DI29" si="43">+X21-CL21</f>
        <v>0</v>
      </c>
      <c r="DH21" s="25">
        <f t="shared" si="43"/>
        <v>0</v>
      </c>
      <c r="DI21" s="25">
        <f t="shared" si="43"/>
        <v>0</v>
      </c>
    </row>
    <row r="22" spans="1:115" ht="48.75" customHeight="1" x14ac:dyDescent="0.25">
      <c r="A22" s="31"/>
      <c r="B22" s="187"/>
      <c r="C22" s="21" t="s">
        <v>92</v>
      </c>
      <c r="D22" s="22" t="s">
        <v>93</v>
      </c>
      <c r="E22" s="23">
        <v>410</v>
      </c>
      <c r="F22" s="24" t="s">
        <v>91</v>
      </c>
      <c r="G22" s="25">
        <f t="shared" si="31"/>
        <v>150000000</v>
      </c>
      <c r="H22" s="25"/>
      <c r="I22" s="25">
        <v>150000000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B22" s="27">
        <f t="shared" si="1"/>
        <v>0.88881006666666662</v>
      </c>
      <c r="AC22" s="25">
        <f t="shared" si="32"/>
        <v>133321510</v>
      </c>
      <c r="AD22" s="25"/>
      <c r="AE22" s="25"/>
      <c r="AF22" s="25">
        <f>+'[1]AGOSTO 2016'!$M$978</f>
        <v>133321510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7">
        <f t="shared" si="3"/>
        <v>0.11118993333333338</v>
      </c>
      <c r="AY22" s="25">
        <f t="shared" si="33"/>
        <v>16678490</v>
      </c>
      <c r="AZ22" s="25">
        <f t="shared" si="34"/>
        <v>0</v>
      </c>
      <c r="BA22" s="25">
        <f t="shared" si="34"/>
        <v>16678490</v>
      </c>
      <c r="BB22" s="25">
        <f t="shared" si="34"/>
        <v>0</v>
      </c>
      <c r="BC22" s="25">
        <f t="shared" si="35"/>
        <v>0</v>
      </c>
      <c r="BD22" s="25">
        <f t="shared" si="35"/>
        <v>0</v>
      </c>
      <c r="BE22" s="25">
        <f t="shared" si="35"/>
        <v>0</v>
      </c>
      <c r="BF22" s="25">
        <f t="shared" si="35"/>
        <v>0</v>
      </c>
      <c r="BG22" s="25">
        <f t="shared" si="35"/>
        <v>0</v>
      </c>
      <c r="BH22" s="25">
        <f t="shared" si="35"/>
        <v>0</v>
      </c>
      <c r="BI22" s="25">
        <f t="shared" si="35"/>
        <v>0</v>
      </c>
      <c r="BJ22" s="25">
        <f t="shared" si="35"/>
        <v>0</v>
      </c>
      <c r="BK22" s="25">
        <f t="shared" si="35"/>
        <v>0</v>
      </c>
      <c r="BL22" s="25">
        <f t="shared" si="35"/>
        <v>0</v>
      </c>
      <c r="BM22" s="25">
        <f t="shared" si="35"/>
        <v>0</v>
      </c>
      <c r="BN22" s="25">
        <f t="shared" si="35"/>
        <v>0</v>
      </c>
      <c r="BO22" s="25"/>
      <c r="BP22" s="25"/>
      <c r="BQ22" s="25"/>
      <c r="BR22" s="25">
        <f t="shared" si="36"/>
        <v>0</v>
      </c>
      <c r="BS22" s="27">
        <f t="shared" si="10"/>
        <v>0.39470993333333332</v>
      </c>
      <c r="BT22" s="25">
        <f t="shared" si="37"/>
        <v>59206490</v>
      </c>
      <c r="BU22" s="25"/>
      <c r="BV22" s="25"/>
      <c r="BW22" s="25">
        <f>+'[1]AGOSTO 2016'!$H$976</f>
        <v>59206490</v>
      </c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7">
        <f t="shared" si="12"/>
        <v>0.60529006666666674</v>
      </c>
      <c r="CP22" s="25">
        <f t="shared" si="38"/>
        <v>90793510</v>
      </c>
      <c r="CQ22" s="25">
        <f t="shared" si="39"/>
        <v>0</v>
      </c>
      <c r="CR22" s="25">
        <f t="shared" si="39"/>
        <v>90793510</v>
      </c>
      <c r="CS22" s="25">
        <f t="shared" si="39"/>
        <v>0</v>
      </c>
      <c r="CT22" s="25">
        <f t="shared" si="39"/>
        <v>0</v>
      </c>
      <c r="CU22" s="25">
        <f t="shared" si="39"/>
        <v>0</v>
      </c>
      <c r="CV22" s="25">
        <f t="shared" si="39"/>
        <v>0</v>
      </c>
      <c r="CW22" s="25">
        <f t="shared" si="40"/>
        <v>0</v>
      </c>
      <c r="CX22" s="25">
        <f t="shared" si="40"/>
        <v>0</v>
      </c>
      <c r="CY22" s="25">
        <f t="shared" si="40"/>
        <v>0</v>
      </c>
      <c r="CZ22" s="25">
        <f t="shared" si="41"/>
        <v>0</v>
      </c>
      <c r="DA22" s="25">
        <f t="shared" si="41"/>
        <v>0</v>
      </c>
      <c r="DB22" s="25">
        <f t="shared" si="41"/>
        <v>0</v>
      </c>
      <c r="DC22" s="25">
        <f t="shared" si="42"/>
        <v>0</v>
      </c>
      <c r="DD22" s="25">
        <f t="shared" si="42"/>
        <v>0</v>
      </c>
      <c r="DE22" s="25">
        <f t="shared" si="42"/>
        <v>0</v>
      </c>
      <c r="DF22" s="25"/>
      <c r="DG22" s="25">
        <f t="shared" si="43"/>
        <v>0</v>
      </c>
      <c r="DH22" s="25">
        <f t="shared" si="43"/>
        <v>0</v>
      </c>
      <c r="DI22" s="25">
        <f t="shared" si="43"/>
        <v>0</v>
      </c>
    </row>
    <row r="23" spans="1:115" ht="33.75" customHeight="1" x14ac:dyDescent="0.25">
      <c r="A23" s="31"/>
      <c r="B23" s="188"/>
      <c r="C23" s="21" t="s">
        <v>94</v>
      </c>
      <c r="D23" s="22" t="s">
        <v>95</v>
      </c>
      <c r="E23" s="23">
        <v>410</v>
      </c>
      <c r="F23" s="24" t="s">
        <v>91</v>
      </c>
      <c r="G23" s="25">
        <f t="shared" si="31"/>
        <v>600000000</v>
      </c>
      <c r="H23" s="25"/>
      <c r="I23" s="25">
        <f>200000000+400000000</f>
        <v>600000000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B23" s="27">
        <f t="shared" si="1"/>
        <v>1</v>
      </c>
      <c r="AC23" s="25">
        <f t="shared" si="32"/>
        <v>600000000</v>
      </c>
      <c r="AD23" s="25"/>
      <c r="AE23" s="25"/>
      <c r="AF23" s="25">
        <f>+'[1]AGOSTO 2016'!$M$993</f>
        <v>600000000</v>
      </c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7">
        <f t="shared" si="3"/>
        <v>0</v>
      </c>
      <c r="AY23" s="25">
        <f t="shared" si="33"/>
        <v>0</v>
      </c>
      <c r="AZ23" s="25">
        <f t="shared" si="34"/>
        <v>0</v>
      </c>
      <c r="BA23" s="25">
        <f t="shared" si="34"/>
        <v>0</v>
      </c>
      <c r="BB23" s="25">
        <f t="shared" si="34"/>
        <v>0</v>
      </c>
      <c r="BC23" s="25">
        <f t="shared" si="35"/>
        <v>0</v>
      </c>
      <c r="BD23" s="25">
        <f t="shared" si="35"/>
        <v>0</v>
      </c>
      <c r="BE23" s="25">
        <f t="shared" si="35"/>
        <v>0</v>
      </c>
      <c r="BF23" s="25">
        <f t="shared" si="35"/>
        <v>0</v>
      </c>
      <c r="BG23" s="25">
        <f t="shared" si="35"/>
        <v>0</v>
      </c>
      <c r="BH23" s="25">
        <f t="shared" si="35"/>
        <v>0</v>
      </c>
      <c r="BI23" s="25">
        <f t="shared" si="35"/>
        <v>0</v>
      </c>
      <c r="BJ23" s="25">
        <f t="shared" si="35"/>
        <v>0</v>
      </c>
      <c r="BK23" s="25">
        <f t="shared" si="35"/>
        <v>0</v>
      </c>
      <c r="BL23" s="25">
        <f t="shared" si="35"/>
        <v>0</v>
      </c>
      <c r="BM23" s="25">
        <f t="shared" si="35"/>
        <v>0</v>
      </c>
      <c r="BN23" s="25">
        <f t="shared" si="35"/>
        <v>0</v>
      </c>
      <c r="BO23" s="25"/>
      <c r="BP23" s="25"/>
      <c r="BQ23" s="25"/>
      <c r="BR23" s="25">
        <f t="shared" si="36"/>
        <v>0</v>
      </c>
      <c r="BS23" s="27">
        <f t="shared" si="10"/>
        <v>0.49147521999999999</v>
      </c>
      <c r="BT23" s="25">
        <f t="shared" si="37"/>
        <v>294885132</v>
      </c>
      <c r="BU23" s="25"/>
      <c r="BV23" s="25"/>
      <c r="BW23" s="25">
        <f>+'[1]AGOSTO 2016'!$H$991</f>
        <v>294885132</v>
      </c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7">
        <f t="shared" si="12"/>
        <v>0.50852478000000001</v>
      </c>
      <c r="CP23" s="25">
        <f t="shared" si="38"/>
        <v>305114868</v>
      </c>
      <c r="CQ23" s="25">
        <f t="shared" si="39"/>
        <v>0</v>
      </c>
      <c r="CR23" s="25">
        <f t="shared" si="39"/>
        <v>305114868</v>
      </c>
      <c r="CS23" s="25">
        <f t="shared" si="39"/>
        <v>0</v>
      </c>
      <c r="CT23" s="25">
        <f t="shared" si="39"/>
        <v>0</v>
      </c>
      <c r="CU23" s="25">
        <f t="shared" si="39"/>
        <v>0</v>
      </c>
      <c r="CV23" s="25">
        <f t="shared" si="39"/>
        <v>0</v>
      </c>
      <c r="CW23" s="25">
        <f t="shared" si="40"/>
        <v>0</v>
      </c>
      <c r="CX23" s="25">
        <f t="shared" si="40"/>
        <v>0</v>
      </c>
      <c r="CY23" s="25">
        <f t="shared" si="40"/>
        <v>0</v>
      </c>
      <c r="CZ23" s="25">
        <f t="shared" si="41"/>
        <v>0</v>
      </c>
      <c r="DA23" s="25">
        <f t="shared" si="41"/>
        <v>0</v>
      </c>
      <c r="DB23" s="25">
        <f t="shared" si="41"/>
        <v>0</v>
      </c>
      <c r="DC23" s="25">
        <f t="shared" si="42"/>
        <v>0</v>
      </c>
      <c r="DD23" s="25">
        <f t="shared" si="42"/>
        <v>0</v>
      </c>
      <c r="DE23" s="25">
        <f t="shared" si="42"/>
        <v>0</v>
      </c>
      <c r="DF23" s="25"/>
      <c r="DG23" s="25">
        <f t="shared" si="43"/>
        <v>0</v>
      </c>
      <c r="DH23" s="25">
        <f t="shared" si="43"/>
        <v>0</v>
      </c>
      <c r="DI23" s="25">
        <f t="shared" si="43"/>
        <v>0</v>
      </c>
    </row>
    <row r="24" spans="1:115" ht="36" customHeight="1" x14ac:dyDescent="0.25">
      <c r="A24" s="31"/>
      <c r="B24" s="186" t="s">
        <v>96</v>
      </c>
      <c r="C24" s="53" t="s">
        <v>97</v>
      </c>
      <c r="D24" s="22" t="s">
        <v>98</v>
      </c>
      <c r="E24" s="23">
        <v>410</v>
      </c>
      <c r="F24" s="24" t="s">
        <v>91</v>
      </c>
      <c r="G24" s="25">
        <f t="shared" si="31"/>
        <v>10000000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>
        <v>10000000</v>
      </c>
      <c r="V24" s="25"/>
      <c r="W24" s="25"/>
      <c r="X24" s="25"/>
      <c r="Y24" s="25"/>
      <c r="Z24" s="25"/>
      <c r="AB24" s="27">
        <f t="shared" si="1"/>
        <v>7.0000000000000007E-2</v>
      </c>
      <c r="AC24" s="25">
        <f t="shared" si="32"/>
        <v>700000</v>
      </c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>
        <f>+'[6]JULIO 2016'!$Y$889</f>
        <v>700000</v>
      </c>
      <c r="AS24" s="25"/>
      <c r="AT24" s="25"/>
      <c r="AU24" s="25"/>
      <c r="AV24" s="25"/>
      <c r="AW24" s="25"/>
      <c r="AX24" s="27">
        <f t="shared" si="3"/>
        <v>0.92999999999999994</v>
      </c>
      <c r="AY24" s="25">
        <f t="shared" si="33"/>
        <v>9300000</v>
      </c>
      <c r="AZ24" s="25">
        <f t="shared" si="34"/>
        <v>0</v>
      </c>
      <c r="BA24" s="25">
        <f t="shared" si="34"/>
        <v>0</v>
      </c>
      <c r="BB24" s="25">
        <f t="shared" si="34"/>
        <v>0</v>
      </c>
      <c r="BC24" s="25">
        <f t="shared" si="35"/>
        <v>0</v>
      </c>
      <c r="BD24" s="25">
        <f t="shared" si="35"/>
        <v>0</v>
      </c>
      <c r="BE24" s="25">
        <f t="shared" si="35"/>
        <v>0</v>
      </c>
      <c r="BF24" s="25">
        <f t="shared" si="35"/>
        <v>0</v>
      </c>
      <c r="BG24" s="25">
        <f t="shared" si="35"/>
        <v>0</v>
      </c>
      <c r="BH24" s="25">
        <f t="shared" si="35"/>
        <v>0</v>
      </c>
      <c r="BI24" s="25">
        <f t="shared" si="35"/>
        <v>0</v>
      </c>
      <c r="BJ24" s="25">
        <f t="shared" si="35"/>
        <v>0</v>
      </c>
      <c r="BK24" s="25">
        <f t="shared" si="35"/>
        <v>0</v>
      </c>
      <c r="BL24" s="25">
        <f t="shared" si="35"/>
        <v>0</v>
      </c>
      <c r="BM24" s="25">
        <f t="shared" si="35"/>
        <v>9300000</v>
      </c>
      <c r="BN24" s="25">
        <f t="shared" si="35"/>
        <v>0</v>
      </c>
      <c r="BO24" s="25"/>
      <c r="BP24" s="25"/>
      <c r="BQ24" s="25"/>
      <c r="BR24" s="25">
        <f t="shared" si="36"/>
        <v>0</v>
      </c>
      <c r="BS24" s="27">
        <f t="shared" si="10"/>
        <v>7.0000000000000007E-2</v>
      </c>
      <c r="BT24" s="25">
        <f t="shared" si="37"/>
        <v>700000</v>
      </c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>
        <f>+'[6]JULIO 2016'!$H$887</f>
        <v>700000</v>
      </c>
      <c r="CJ24" s="25"/>
      <c r="CK24" s="25"/>
      <c r="CL24" s="25"/>
      <c r="CM24" s="25"/>
      <c r="CN24" s="25"/>
      <c r="CO24" s="27">
        <f t="shared" si="12"/>
        <v>0.92999999999999994</v>
      </c>
      <c r="CP24" s="25">
        <f t="shared" si="38"/>
        <v>9300000</v>
      </c>
      <c r="CQ24" s="25">
        <f t="shared" si="39"/>
        <v>0</v>
      </c>
      <c r="CR24" s="25">
        <f t="shared" si="39"/>
        <v>0</v>
      </c>
      <c r="CS24" s="25">
        <f t="shared" si="39"/>
        <v>0</v>
      </c>
      <c r="CT24" s="25">
        <f t="shared" si="39"/>
        <v>0</v>
      </c>
      <c r="CU24" s="25">
        <f t="shared" si="39"/>
        <v>0</v>
      </c>
      <c r="CV24" s="25">
        <f t="shared" si="39"/>
        <v>0</v>
      </c>
      <c r="CW24" s="25">
        <f t="shared" si="40"/>
        <v>0</v>
      </c>
      <c r="CX24" s="25">
        <f t="shared" si="40"/>
        <v>0</v>
      </c>
      <c r="CY24" s="25">
        <f t="shared" si="40"/>
        <v>0</v>
      </c>
      <c r="CZ24" s="25">
        <f t="shared" si="41"/>
        <v>0</v>
      </c>
      <c r="DA24" s="25">
        <f t="shared" si="41"/>
        <v>0</v>
      </c>
      <c r="DB24" s="25">
        <f t="shared" si="41"/>
        <v>0</v>
      </c>
      <c r="DC24" s="25">
        <f t="shared" si="42"/>
        <v>0</v>
      </c>
      <c r="DD24" s="25">
        <f t="shared" si="42"/>
        <v>9300000</v>
      </c>
      <c r="DE24" s="25">
        <f t="shared" si="42"/>
        <v>0</v>
      </c>
      <c r="DF24" s="25"/>
      <c r="DG24" s="25">
        <f t="shared" si="43"/>
        <v>0</v>
      </c>
      <c r="DH24" s="25">
        <f t="shared" si="43"/>
        <v>0</v>
      </c>
      <c r="DI24" s="25">
        <f t="shared" si="43"/>
        <v>0</v>
      </c>
    </row>
    <row r="25" spans="1:115" ht="33" customHeight="1" x14ac:dyDescent="0.25">
      <c r="A25" s="31"/>
      <c r="B25" s="187"/>
      <c r="C25" s="21" t="s">
        <v>99</v>
      </c>
      <c r="D25" s="22" t="s">
        <v>100</v>
      </c>
      <c r="E25" s="23">
        <v>410</v>
      </c>
      <c r="F25" s="24" t="s">
        <v>101</v>
      </c>
      <c r="G25" s="25">
        <f>SUM(H25:Z25)</f>
        <v>10000000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>
        <v>10000000</v>
      </c>
      <c r="V25" s="25"/>
      <c r="W25" s="25"/>
      <c r="X25" s="25"/>
      <c r="Y25" s="25"/>
      <c r="Z25" s="25"/>
      <c r="AB25" s="27">
        <f t="shared" si="1"/>
        <v>1</v>
      </c>
      <c r="AC25" s="25">
        <f t="shared" si="32"/>
        <v>10000000</v>
      </c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>
        <f>+'[3]ABRIL 2016'!$Y$572</f>
        <v>10000000</v>
      </c>
      <c r="AS25" s="25"/>
      <c r="AT25" s="25"/>
      <c r="AU25" s="25"/>
      <c r="AV25" s="25"/>
      <c r="AW25" s="25"/>
      <c r="AX25" s="27">
        <f t="shared" si="3"/>
        <v>0</v>
      </c>
      <c r="AY25" s="25">
        <f t="shared" si="33"/>
        <v>0</v>
      </c>
      <c r="AZ25" s="25">
        <f t="shared" si="34"/>
        <v>0</v>
      </c>
      <c r="BA25" s="25">
        <f t="shared" si="34"/>
        <v>0</v>
      </c>
      <c r="BB25" s="25">
        <f t="shared" si="34"/>
        <v>0</v>
      </c>
      <c r="BC25" s="25">
        <f t="shared" si="35"/>
        <v>0</v>
      </c>
      <c r="BD25" s="25">
        <f t="shared" si="35"/>
        <v>0</v>
      </c>
      <c r="BE25" s="25">
        <f t="shared" si="35"/>
        <v>0</v>
      </c>
      <c r="BF25" s="25">
        <f t="shared" si="35"/>
        <v>0</v>
      </c>
      <c r="BG25" s="25">
        <f t="shared" si="35"/>
        <v>0</v>
      </c>
      <c r="BH25" s="25">
        <f t="shared" si="35"/>
        <v>0</v>
      </c>
      <c r="BI25" s="25">
        <f t="shared" si="35"/>
        <v>0</v>
      </c>
      <c r="BJ25" s="25">
        <f t="shared" si="35"/>
        <v>0</v>
      </c>
      <c r="BK25" s="25">
        <f t="shared" si="35"/>
        <v>0</v>
      </c>
      <c r="BL25" s="25">
        <f t="shared" si="35"/>
        <v>0</v>
      </c>
      <c r="BM25" s="25">
        <f t="shared" si="35"/>
        <v>0</v>
      </c>
      <c r="BN25" s="25">
        <f t="shared" si="35"/>
        <v>0</v>
      </c>
      <c r="BO25" s="25"/>
      <c r="BP25" s="25"/>
      <c r="BQ25" s="25"/>
      <c r="BR25" s="25">
        <f t="shared" si="36"/>
        <v>0</v>
      </c>
      <c r="BS25" s="27">
        <f t="shared" si="10"/>
        <v>1</v>
      </c>
      <c r="BT25" s="25">
        <f t="shared" si="37"/>
        <v>10000000</v>
      </c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>
        <f>+'[3]ABRIL 2016'!$Y$572</f>
        <v>10000000</v>
      </c>
      <c r="CJ25" s="25"/>
      <c r="CK25" s="25"/>
      <c r="CL25" s="25"/>
      <c r="CM25" s="25"/>
      <c r="CN25" s="25"/>
      <c r="CO25" s="27">
        <f t="shared" si="12"/>
        <v>0</v>
      </c>
      <c r="CP25" s="25">
        <f t="shared" si="38"/>
        <v>0</v>
      </c>
      <c r="CQ25" s="25">
        <f t="shared" si="39"/>
        <v>0</v>
      </c>
      <c r="CR25" s="25">
        <f t="shared" si="39"/>
        <v>0</v>
      </c>
      <c r="CS25" s="25">
        <f t="shared" si="39"/>
        <v>0</v>
      </c>
      <c r="CT25" s="25">
        <f t="shared" si="39"/>
        <v>0</v>
      </c>
      <c r="CU25" s="25">
        <f t="shared" si="39"/>
        <v>0</v>
      </c>
      <c r="CV25" s="25">
        <f t="shared" si="39"/>
        <v>0</v>
      </c>
      <c r="CW25" s="25">
        <f t="shared" si="40"/>
        <v>0</v>
      </c>
      <c r="CX25" s="25">
        <f t="shared" si="40"/>
        <v>0</v>
      </c>
      <c r="CY25" s="25">
        <f t="shared" si="40"/>
        <v>0</v>
      </c>
      <c r="CZ25" s="25">
        <f t="shared" si="41"/>
        <v>0</v>
      </c>
      <c r="DA25" s="25">
        <f t="shared" si="41"/>
        <v>0</v>
      </c>
      <c r="DB25" s="25">
        <f t="shared" si="41"/>
        <v>0</v>
      </c>
      <c r="DC25" s="25">
        <f t="shared" si="42"/>
        <v>0</v>
      </c>
      <c r="DD25" s="25">
        <f t="shared" si="42"/>
        <v>0</v>
      </c>
      <c r="DE25" s="25">
        <f t="shared" si="42"/>
        <v>0</v>
      </c>
      <c r="DF25" s="25"/>
      <c r="DG25" s="25">
        <f t="shared" si="43"/>
        <v>0</v>
      </c>
      <c r="DH25" s="25">
        <f t="shared" si="43"/>
        <v>0</v>
      </c>
      <c r="DI25" s="25">
        <f t="shared" si="43"/>
        <v>0</v>
      </c>
    </row>
    <row r="26" spans="1:115" ht="36.75" customHeight="1" x14ac:dyDescent="0.25">
      <c r="A26" s="31"/>
      <c r="B26" s="187"/>
      <c r="C26" s="21" t="s">
        <v>102</v>
      </c>
      <c r="D26" s="22" t="s">
        <v>103</v>
      </c>
      <c r="E26" s="23">
        <v>410</v>
      </c>
      <c r="F26" s="24" t="s">
        <v>101</v>
      </c>
      <c r="G26" s="25">
        <f t="shared" si="31"/>
        <v>0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>
        <f>20000000-20000000</f>
        <v>0</v>
      </c>
      <c r="V26" s="25"/>
      <c r="W26" s="25"/>
      <c r="X26" s="25"/>
      <c r="Y26" s="25"/>
      <c r="Z26" s="25"/>
      <c r="AB26" s="27" t="e">
        <f t="shared" si="1"/>
        <v>#DIV/0!</v>
      </c>
      <c r="AC26" s="25">
        <f t="shared" si="32"/>
        <v>0</v>
      </c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7" t="e">
        <f t="shared" si="3"/>
        <v>#DIV/0!</v>
      </c>
      <c r="AY26" s="25">
        <f t="shared" si="33"/>
        <v>0</v>
      </c>
      <c r="AZ26" s="25">
        <f t="shared" si="34"/>
        <v>0</v>
      </c>
      <c r="BA26" s="25">
        <f t="shared" si="34"/>
        <v>0</v>
      </c>
      <c r="BB26" s="25">
        <f t="shared" si="34"/>
        <v>0</v>
      </c>
      <c r="BC26" s="25">
        <f t="shared" si="35"/>
        <v>0</v>
      </c>
      <c r="BD26" s="25">
        <f t="shared" si="35"/>
        <v>0</v>
      </c>
      <c r="BE26" s="25">
        <f t="shared" si="35"/>
        <v>0</v>
      </c>
      <c r="BF26" s="25">
        <f t="shared" si="35"/>
        <v>0</v>
      </c>
      <c r="BG26" s="25">
        <f t="shared" si="35"/>
        <v>0</v>
      </c>
      <c r="BH26" s="25">
        <f t="shared" si="35"/>
        <v>0</v>
      </c>
      <c r="BI26" s="25">
        <f t="shared" si="35"/>
        <v>0</v>
      </c>
      <c r="BJ26" s="25">
        <f t="shared" si="35"/>
        <v>0</v>
      </c>
      <c r="BK26" s="25">
        <f t="shared" si="35"/>
        <v>0</v>
      </c>
      <c r="BL26" s="25">
        <f t="shared" si="35"/>
        <v>0</v>
      </c>
      <c r="BM26" s="25">
        <f t="shared" si="35"/>
        <v>0</v>
      </c>
      <c r="BN26" s="25">
        <f t="shared" si="35"/>
        <v>0</v>
      </c>
      <c r="BO26" s="25"/>
      <c r="BP26" s="25"/>
      <c r="BQ26" s="25"/>
      <c r="BR26" s="25">
        <f t="shared" si="36"/>
        <v>0</v>
      </c>
      <c r="BS26" s="27" t="e">
        <f t="shared" si="10"/>
        <v>#DIV/0!</v>
      </c>
      <c r="BT26" s="25">
        <f t="shared" si="37"/>
        <v>0</v>
      </c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7" t="e">
        <f t="shared" si="12"/>
        <v>#DIV/0!</v>
      </c>
      <c r="CP26" s="25">
        <f t="shared" si="38"/>
        <v>0</v>
      </c>
      <c r="CQ26" s="25">
        <f t="shared" si="39"/>
        <v>0</v>
      </c>
      <c r="CR26" s="25">
        <f t="shared" si="39"/>
        <v>0</v>
      </c>
      <c r="CS26" s="25">
        <f t="shared" si="39"/>
        <v>0</v>
      </c>
      <c r="CT26" s="25">
        <f t="shared" si="39"/>
        <v>0</v>
      </c>
      <c r="CU26" s="25">
        <f t="shared" si="39"/>
        <v>0</v>
      </c>
      <c r="CV26" s="25">
        <f t="shared" si="39"/>
        <v>0</v>
      </c>
      <c r="CW26" s="25">
        <f t="shared" si="40"/>
        <v>0</v>
      </c>
      <c r="CX26" s="25">
        <f t="shared" si="40"/>
        <v>0</v>
      </c>
      <c r="CY26" s="25">
        <f t="shared" si="40"/>
        <v>0</v>
      </c>
      <c r="CZ26" s="25">
        <f t="shared" si="41"/>
        <v>0</v>
      </c>
      <c r="DA26" s="25">
        <f t="shared" si="41"/>
        <v>0</v>
      </c>
      <c r="DB26" s="25">
        <f t="shared" si="41"/>
        <v>0</v>
      </c>
      <c r="DC26" s="25">
        <f t="shared" si="42"/>
        <v>0</v>
      </c>
      <c r="DD26" s="25">
        <f t="shared" si="42"/>
        <v>0</v>
      </c>
      <c r="DE26" s="25">
        <f t="shared" si="42"/>
        <v>0</v>
      </c>
      <c r="DF26" s="25"/>
      <c r="DG26" s="25">
        <f t="shared" si="43"/>
        <v>0</v>
      </c>
      <c r="DH26" s="25">
        <f t="shared" si="43"/>
        <v>0</v>
      </c>
      <c r="DI26" s="25">
        <f t="shared" si="43"/>
        <v>0</v>
      </c>
    </row>
    <row r="27" spans="1:115" ht="36.75" customHeight="1" x14ac:dyDescent="0.25">
      <c r="A27" s="31"/>
      <c r="B27" s="187"/>
      <c r="C27" s="21" t="s">
        <v>104</v>
      </c>
      <c r="D27" s="22" t="s">
        <v>105</v>
      </c>
      <c r="E27" s="23">
        <v>410</v>
      </c>
      <c r="F27" s="24" t="s">
        <v>101</v>
      </c>
      <c r="G27" s="25">
        <f t="shared" si="31"/>
        <v>27000000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>
        <f>50000000-23000000</f>
        <v>27000000</v>
      </c>
      <c r="V27" s="25"/>
      <c r="W27" s="25"/>
      <c r="X27" s="25"/>
      <c r="Y27" s="25"/>
      <c r="Z27" s="25"/>
      <c r="AB27" s="27">
        <f t="shared" si="1"/>
        <v>1</v>
      </c>
      <c r="AC27" s="25">
        <f t="shared" si="32"/>
        <v>27000000</v>
      </c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>
        <f>+'[3]ABRIL 2016'!$Y$585</f>
        <v>27000000</v>
      </c>
      <c r="AS27" s="25"/>
      <c r="AT27" s="25"/>
      <c r="AU27" s="25"/>
      <c r="AV27" s="25"/>
      <c r="AW27" s="25"/>
      <c r="AX27" s="27">
        <f t="shared" si="3"/>
        <v>0</v>
      </c>
      <c r="AY27" s="25">
        <f t="shared" si="33"/>
        <v>0</v>
      </c>
      <c r="AZ27" s="25">
        <f t="shared" si="34"/>
        <v>0</v>
      </c>
      <c r="BA27" s="25">
        <f t="shared" si="34"/>
        <v>0</v>
      </c>
      <c r="BB27" s="25">
        <f t="shared" si="34"/>
        <v>0</v>
      </c>
      <c r="BC27" s="25">
        <f t="shared" si="35"/>
        <v>0</v>
      </c>
      <c r="BD27" s="25">
        <f t="shared" si="35"/>
        <v>0</v>
      </c>
      <c r="BE27" s="25">
        <f t="shared" si="35"/>
        <v>0</v>
      </c>
      <c r="BF27" s="25">
        <f t="shared" si="35"/>
        <v>0</v>
      </c>
      <c r="BG27" s="25">
        <f t="shared" si="35"/>
        <v>0</v>
      </c>
      <c r="BH27" s="25">
        <f t="shared" si="35"/>
        <v>0</v>
      </c>
      <c r="BI27" s="25">
        <f t="shared" si="35"/>
        <v>0</v>
      </c>
      <c r="BJ27" s="25">
        <f t="shared" si="35"/>
        <v>0</v>
      </c>
      <c r="BK27" s="25">
        <f t="shared" si="35"/>
        <v>0</v>
      </c>
      <c r="BL27" s="25">
        <f t="shared" si="35"/>
        <v>0</v>
      </c>
      <c r="BM27" s="25">
        <f t="shared" si="35"/>
        <v>0</v>
      </c>
      <c r="BN27" s="25">
        <f t="shared" si="35"/>
        <v>0</v>
      </c>
      <c r="BO27" s="25"/>
      <c r="BP27" s="25"/>
      <c r="BQ27" s="25"/>
      <c r="BR27" s="25">
        <f t="shared" si="36"/>
        <v>0</v>
      </c>
      <c r="BS27" s="27">
        <f t="shared" si="10"/>
        <v>0.65259259259259261</v>
      </c>
      <c r="BT27" s="25">
        <f t="shared" si="37"/>
        <v>17620000</v>
      </c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>
        <f>+'[1]AGOSTO 2016'!$H$1055</f>
        <v>17620000</v>
      </c>
      <c r="CJ27" s="25"/>
      <c r="CK27" s="25"/>
      <c r="CL27" s="25"/>
      <c r="CM27" s="25"/>
      <c r="CN27" s="25"/>
      <c r="CO27" s="27">
        <f t="shared" si="12"/>
        <v>0.34740740740740739</v>
      </c>
      <c r="CP27" s="25">
        <f t="shared" si="38"/>
        <v>9380000</v>
      </c>
      <c r="CQ27" s="25">
        <f t="shared" si="39"/>
        <v>0</v>
      </c>
      <c r="CR27" s="25">
        <f t="shared" si="39"/>
        <v>0</v>
      </c>
      <c r="CS27" s="25">
        <f t="shared" si="39"/>
        <v>0</v>
      </c>
      <c r="CT27" s="25">
        <f t="shared" si="39"/>
        <v>0</v>
      </c>
      <c r="CU27" s="25">
        <f t="shared" si="39"/>
        <v>0</v>
      </c>
      <c r="CV27" s="25">
        <f t="shared" si="39"/>
        <v>0</v>
      </c>
      <c r="CW27" s="25">
        <f t="shared" si="40"/>
        <v>0</v>
      </c>
      <c r="CX27" s="25">
        <f t="shared" si="40"/>
        <v>0</v>
      </c>
      <c r="CY27" s="25">
        <f t="shared" si="40"/>
        <v>0</v>
      </c>
      <c r="CZ27" s="25">
        <f t="shared" si="41"/>
        <v>0</v>
      </c>
      <c r="DA27" s="25">
        <f t="shared" si="41"/>
        <v>0</v>
      </c>
      <c r="DB27" s="25">
        <f t="shared" si="41"/>
        <v>0</v>
      </c>
      <c r="DC27" s="25">
        <f t="shared" si="42"/>
        <v>0</v>
      </c>
      <c r="DD27" s="25">
        <f t="shared" si="42"/>
        <v>9380000</v>
      </c>
      <c r="DE27" s="25">
        <f t="shared" si="42"/>
        <v>0</v>
      </c>
      <c r="DF27" s="25"/>
      <c r="DG27" s="25">
        <f t="shared" si="43"/>
        <v>0</v>
      </c>
      <c r="DH27" s="25">
        <f t="shared" si="43"/>
        <v>0</v>
      </c>
      <c r="DI27" s="25">
        <f t="shared" si="43"/>
        <v>0</v>
      </c>
    </row>
    <row r="28" spans="1:115" ht="37.5" customHeight="1" x14ac:dyDescent="0.25">
      <c r="A28" s="31"/>
      <c r="B28" s="187"/>
      <c r="C28" s="21" t="s">
        <v>106</v>
      </c>
      <c r="D28" s="22" t="s">
        <v>107</v>
      </c>
      <c r="E28" s="23">
        <v>410</v>
      </c>
      <c r="F28" s="24" t="s">
        <v>108</v>
      </c>
      <c r="G28" s="25">
        <f t="shared" si="31"/>
        <v>105000000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>
        <v>100000000</v>
      </c>
      <c r="V28" s="25"/>
      <c r="W28" s="25"/>
      <c r="X28" s="25"/>
      <c r="Y28" s="25"/>
      <c r="Z28" s="25">
        <v>5000000</v>
      </c>
      <c r="AB28" s="27">
        <f t="shared" si="1"/>
        <v>0.93856134285714288</v>
      </c>
      <c r="AC28" s="25">
        <f t="shared" si="32"/>
        <v>98548941</v>
      </c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>
        <f>+'[1]AGOSTO 2016'!$Y$1068</f>
        <v>97398441</v>
      </c>
      <c r="AS28" s="25"/>
      <c r="AT28" s="25"/>
      <c r="AU28" s="25"/>
      <c r="AV28" s="25"/>
      <c r="AW28" s="25">
        <v>1150500</v>
      </c>
      <c r="AX28" s="27">
        <f t="shared" si="3"/>
        <v>6.1438657142857123E-2</v>
      </c>
      <c r="AY28" s="25">
        <f t="shared" si="33"/>
        <v>6451059</v>
      </c>
      <c r="AZ28" s="25">
        <f t="shared" si="34"/>
        <v>0</v>
      </c>
      <c r="BA28" s="25">
        <f t="shared" si="34"/>
        <v>0</v>
      </c>
      <c r="BB28" s="25">
        <f t="shared" si="34"/>
        <v>0</v>
      </c>
      <c r="BC28" s="25">
        <f t="shared" si="35"/>
        <v>0</v>
      </c>
      <c r="BD28" s="25">
        <f t="shared" si="35"/>
        <v>0</v>
      </c>
      <c r="BE28" s="25">
        <f t="shared" si="35"/>
        <v>0</v>
      </c>
      <c r="BF28" s="25">
        <f t="shared" si="35"/>
        <v>0</v>
      </c>
      <c r="BG28" s="25">
        <f t="shared" si="35"/>
        <v>0</v>
      </c>
      <c r="BH28" s="25">
        <f t="shared" si="35"/>
        <v>0</v>
      </c>
      <c r="BI28" s="25">
        <f t="shared" si="35"/>
        <v>0</v>
      </c>
      <c r="BJ28" s="25">
        <f t="shared" si="35"/>
        <v>0</v>
      </c>
      <c r="BK28" s="25">
        <f t="shared" si="35"/>
        <v>0</v>
      </c>
      <c r="BL28" s="25">
        <f t="shared" si="35"/>
        <v>0</v>
      </c>
      <c r="BM28" s="25">
        <f t="shared" si="35"/>
        <v>2601559</v>
      </c>
      <c r="BN28" s="25">
        <f t="shared" si="35"/>
        <v>0</v>
      </c>
      <c r="BO28" s="25"/>
      <c r="BP28" s="25"/>
      <c r="BQ28" s="25"/>
      <c r="BR28" s="25">
        <f t="shared" si="36"/>
        <v>3849500</v>
      </c>
      <c r="BS28" s="27">
        <f t="shared" si="10"/>
        <v>0.93856134285714288</v>
      </c>
      <c r="BT28" s="25">
        <f t="shared" si="37"/>
        <v>98548941</v>
      </c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>
        <f>+'[1]AGOSTO 2016'!$Y$1068</f>
        <v>97398441</v>
      </c>
      <c r="CJ28" s="25"/>
      <c r="CK28" s="25"/>
      <c r="CL28" s="25"/>
      <c r="CM28" s="25"/>
      <c r="CN28" s="25">
        <v>1150500</v>
      </c>
      <c r="CO28" s="27">
        <f t="shared" si="12"/>
        <v>6.1438657142857123E-2</v>
      </c>
      <c r="CP28" s="25">
        <f t="shared" si="38"/>
        <v>6451059</v>
      </c>
      <c r="CQ28" s="25">
        <f t="shared" si="39"/>
        <v>0</v>
      </c>
      <c r="CR28" s="25">
        <f t="shared" si="39"/>
        <v>0</v>
      </c>
      <c r="CS28" s="25">
        <f t="shared" si="39"/>
        <v>0</v>
      </c>
      <c r="CT28" s="25">
        <f t="shared" si="39"/>
        <v>0</v>
      </c>
      <c r="CU28" s="25">
        <f t="shared" si="39"/>
        <v>0</v>
      </c>
      <c r="CV28" s="25">
        <f t="shared" si="39"/>
        <v>0</v>
      </c>
      <c r="CW28" s="25">
        <f t="shared" si="40"/>
        <v>0</v>
      </c>
      <c r="CX28" s="25">
        <f t="shared" si="40"/>
        <v>0</v>
      </c>
      <c r="CY28" s="25">
        <f t="shared" si="40"/>
        <v>0</v>
      </c>
      <c r="CZ28" s="25">
        <f t="shared" si="41"/>
        <v>0</v>
      </c>
      <c r="DA28" s="25">
        <f t="shared" si="41"/>
        <v>0</v>
      </c>
      <c r="DB28" s="25">
        <f t="shared" si="41"/>
        <v>0</v>
      </c>
      <c r="DC28" s="25">
        <f t="shared" si="42"/>
        <v>0</v>
      </c>
      <c r="DD28" s="25">
        <f t="shared" si="42"/>
        <v>2601559</v>
      </c>
      <c r="DE28" s="25">
        <f t="shared" si="42"/>
        <v>0</v>
      </c>
      <c r="DF28" s="25"/>
      <c r="DG28" s="25">
        <f t="shared" si="43"/>
        <v>0</v>
      </c>
      <c r="DH28" s="25">
        <f t="shared" si="43"/>
        <v>0</v>
      </c>
      <c r="DI28" s="25">
        <f t="shared" si="43"/>
        <v>3849500</v>
      </c>
    </row>
    <row r="29" spans="1:115" ht="33.75" customHeight="1" x14ac:dyDescent="0.25">
      <c r="A29" s="31"/>
      <c r="B29" s="187"/>
      <c r="C29" s="21" t="s">
        <v>109</v>
      </c>
      <c r="D29" s="22" t="s">
        <v>110</v>
      </c>
      <c r="E29" s="23">
        <v>410</v>
      </c>
      <c r="F29" s="24" t="s">
        <v>101</v>
      </c>
      <c r="G29" s="25">
        <f t="shared" si="31"/>
        <v>100000000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100000000</v>
      </c>
      <c r="V29" s="25"/>
      <c r="W29" s="25"/>
      <c r="X29" s="25"/>
      <c r="Y29" s="25"/>
      <c r="Z29" s="25"/>
      <c r="AB29" s="27">
        <f t="shared" si="1"/>
        <v>0.78948779000000002</v>
      </c>
      <c r="AC29" s="25">
        <f t="shared" si="32"/>
        <v>78948779</v>
      </c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>
        <f>+'[6]JULIO 2016'!$Y$960</f>
        <v>78948779</v>
      </c>
      <c r="AS29" s="25"/>
      <c r="AT29" s="25"/>
      <c r="AU29" s="25"/>
      <c r="AV29" s="25"/>
      <c r="AW29" s="25"/>
      <c r="AX29" s="27">
        <f t="shared" si="3"/>
        <v>0.21051220999999998</v>
      </c>
      <c r="AY29" s="25">
        <f t="shared" si="33"/>
        <v>21051221</v>
      </c>
      <c r="AZ29" s="25">
        <f t="shared" si="34"/>
        <v>0</v>
      </c>
      <c r="BA29" s="25">
        <f t="shared" si="34"/>
        <v>0</v>
      </c>
      <c r="BB29" s="25">
        <f t="shared" si="34"/>
        <v>0</v>
      </c>
      <c r="BC29" s="25">
        <f t="shared" si="35"/>
        <v>0</v>
      </c>
      <c r="BD29" s="25">
        <f t="shared" si="35"/>
        <v>0</v>
      </c>
      <c r="BE29" s="25">
        <f t="shared" si="35"/>
        <v>0</v>
      </c>
      <c r="BF29" s="25">
        <f t="shared" si="35"/>
        <v>0</v>
      </c>
      <c r="BG29" s="25">
        <f t="shared" si="35"/>
        <v>0</v>
      </c>
      <c r="BH29" s="25">
        <f t="shared" si="35"/>
        <v>0</v>
      </c>
      <c r="BI29" s="25">
        <f t="shared" si="35"/>
        <v>0</v>
      </c>
      <c r="BJ29" s="25">
        <f t="shared" si="35"/>
        <v>0</v>
      </c>
      <c r="BK29" s="25">
        <f t="shared" si="35"/>
        <v>0</v>
      </c>
      <c r="BL29" s="25">
        <f t="shared" si="35"/>
        <v>0</v>
      </c>
      <c r="BM29" s="25">
        <f t="shared" si="35"/>
        <v>21051221</v>
      </c>
      <c r="BN29" s="25">
        <f t="shared" si="35"/>
        <v>0</v>
      </c>
      <c r="BO29" s="25"/>
      <c r="BP29" s="25"/>
      <c r="BQ29" s="25"/>
      <c r="BR29" s="25">
        <f t="shared" si="36"/>
        <v>0</v>
      </c>
      <c r="BS29" s="27">
        <f t="shared" si="10"/>
        <v>0.78948779000000002</v>
      </c>
      <c r="BT29" s="25">
        <f t="shared" si="37"/>
        <v>78948779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>
        <f>+'[6]JULIO 2016'!$H$958</f>
        <v>78948779</v>
      </c>
      <c r="CJ29" s="25"/>
      <c r="CK29" s="25"/>
      <c r="CL29" s="25"/>
      <c r="CM29" s="25"/>
      <c r="CN29" s="25"/>
      <c r="CO29" s="27">
        <f t="shared" si="12"/>
        <v>0.21051220999999998</v>
      </c>
      <c r="CP29" s="25">
        <f t="shared" si="38"/>
        <v>21051221</v>
      </c>
      <c r="CQ29" s="25">
        <f t="shared" si="39"/>
        <v>0</v>
      </c>
      <c r="CR29" s="25">
        <f t="shared" si="39"/>
        <v>0</v>
      </c>
      <c r="CS29" s="25">
        <f t="shared" si="39"/>
        <v>0</v>
      </c>
      <c r="CT29" s="25">
        <f t="shared" si="39"/>
        <v>0</v>
      </c>
      <c r="CU29" s="25">
        <f t="shared" si="39"/>
        <v>0</v>
      </c>
      <c r="CV29" s="25">
        <f t="shared" si="39"/>
        <v>0</v>
      </c>
      <c r="CW29" s="25">
        <f t="shared" si="40"/>
        <v>0</v>
      </c>
      <c r="CX29" s="25">
        <f t="shared" si="40"/>
        <v>0</v>
      </c>
      <c r="CY29" s="25">
        <f t="shared" si="40"/>
        <v>0</v>
      </c>
      <c r="CZ29" s="25">
        <f t="shared" si="41"/>
        <v>0</v>
      </c>
      <c r="DA29" s="25">
        <f t="shared" si="41"/>
        <v>0</v>
      </c>
      <c r="DB29" s="25">
        <f t="shared" si="41"/>
        <v>0</v>
      </c>
      <c r="DC29" s="25">
        <f t="shared" si="42"/>
        <v>0</v>
      </c>
      <c r="DD29" s="25">
        <f t="shared" si="42"/>
        <v>21051221</v>
      </c>
      <c r="DE29" s="25">
        <f t="shared" si="42"/>
        <v>0</v>
      </c>
      <c r="DF29" s="25"/>
      <c r="DG29" s="25">
        <f t="shared" si="43"/>
        <v>0</v>
      </c>
      <c r="DH29" s="25">
        <f t="shared" si="43"/>
        <v>0</v>
      </c>
      <c r="DI29" s="25">
        <f t="shared" si="43"/>
        <v>0</v>
      </c>
    </row>
    <row r="30" spans="1:115" ht="22.5" customHeight="1" x14ac:dyDescent="0.25">
      <c r="A30" s="31"/>
      <c r="B30" s="187"/>
      <c r="C30" s="21" t="s">
        <v>111</v>
      </c>
      <c r="D30" s="22" t="s">
        <v>112</v>
      </c>
      <c r="E30" s="23">
        <v>410</v>
      </c>
      <c r="F30" s="24" t="s">
        <v>76</v>
      </c>
      <c r="G30" s="25">
        <f t="shared" si="31"/>
        <v>12000000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>
        <f>6000000+2000000+4000000</f>
        <v>12000000</v>
      </c>
      <c r="AB30" s="27">
        <f t="shared" si="1"/>
        <v>0.99999983333333331</v>
      </c>
      <c r="AC30" s="25">
        <f t="shared" si="32"/>
        <v>11999998</v>
      </c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>
        <f>+'[1]AGOSTO 2016'!$AG$1142</f>
        <v>11999998</v>
      </c>
      <c r="AX30" s="27">
        <f t="shared" si="3"/>
        <v>1.6666666668996299E-7</v>
      </c>
      <c r="AY30" s="25">
        <f t="shared" si="33"/>
        <v>2</v>
      </c>
      <c r="AZ30" s="25">
        <f t="shared" si="34"/>
        <v>0</v>
      </c>
      <c r="BA30" s="25">
        <f t="shared" si="34"/>
        <v>0</v>
      </c>
      <c r="BB30" s="25">
        <f t="shared" si="34"/>
        <v>0</v>
      </c>
      <c r="BC30" s="25">
        <f t="shared" si="35"/>
        <v>0</v>
      </c>
      <c r="BD30" s="25">
        <f t="shared" si="35"/>
        <v>0</v>
      </c>
      <c r="BE30" s="25">
        <f t="shared" si="35"/>
        <v>0</v>
      </c>
      <c r="BF30" s="25">
        <f t="shared" si="35"/>
        <v>0</v>
      </c>
      <c r="BG30" s="25">
        <f t="shared" si="35"/>
        <v>0</v>
      </c>
      <c r="BH30" s="25">
        <f t="shared" si="35"/>
        <v>0</v>
      </c>
      <c r="BI30" s="25">
        <f t="shared" si="35"/>
        <v>0</v>
      </c>
      <c r="BJ30" s="25">
        <f t="shared" si="35"/>
        <v>0</v>
      </c>
      <c r="BK30" s="25">
        <f t="shared" si="35"/>
        <v>0</v>
      </c>
      <c r="BL30" s="25"/>
      <c r="BM30" s="25">
        <f t="shared" si="35"/>
        <v>0</v>
      </c>
      <c r="BN30" s="25">
        <f t="shared" si="35"/>
        <v>0</v>
      </c>
      <c r="BO30" s="25"/>
      <c r="BP30" s="25"/>
      <c r="BQ30" s="25"/>
      <c r="BR30" s="25">
        <f t="shared" si="36"/>
        <v>2</v>
      </c>
      <c r="BS30" s="27">
        <f t="shared" si="10"/>
        <v>0.48977333333333334</v>
      </c>
      <c r="BT30" s="25">
        <f t="shared" si="37"/>
        <v>5877280</v>
      </c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>
        <f>+'[6]JULIO 2016'!$H$984</f>
        <v>5877280</v>
      </c>
      <c r="CO30" s="27">
        <f t="shared" si="12"/>
        <v>0.51022666666666661</v>
      </c>
      <c r="CP30" s="25">
        <f t="shared" si="38"/>
        <v>6122720</v>
      </c>
      <c r="CQ30" s="25">
        <f t="shared" si="39"/>
        <v>0</v>
      </c>
      <c r="CR30" s="25">
        <f t="shared" si="39"/>
        <v>0</v>
      </c>
      <c r="CS30" s="25">
        <f t="shared" si="39"/>
        <v>0</v>
      </c>
      <c r="CT30" s="25">
        <f t="shared" si="39"/>
        <v>0</v>
      </c>
      <c r="CU30" s="25">
        <f t="shared" si="39"/>
        <v>0</v>
      </c>
      <c r="CV30" s="25">
        <f t="shared" si="39"/>
        <v>0</v>
      </c>
      <c r="CW30" s="25">
        <f t="shared" si="40"/>
        <v>0</v>
      </c>
      <c r="CX30" s="25">
        <f t="shared" si="40"/>
        <v>0</v>
      </c>
      <c r="CY30" s="25">
        <f t="shared" si="40"/>
        <v>0</v>
      </c>
      <c r="CZ30" s="25">
        <f t="shared" si="41"/>
        <v>0</v>
      </c>
      <c r="DA30" s="25">
        <f t="shared" si="41"/>
        <v>0</v>
      </c>
      <c r="DB30" s="25">
        <f t="shared" si="41"/>
        <v>0</v>
      </c>
      <c r="DC30" s="25">
        <f t="shared" si="41"/>
        <v>0</v>
      </c>
      <c r="DD30" s="25">
        <f t="shared" si="41"/>
        <v>0</v>
      </c>
      <c r="DE30" s="25">
        <f t="shared" si="41"/>
        <v>0</v>
      </c>
      <c r="DF30" s="25"/>
      <c r="DG30" s="25">
        <f t="shared" ref="DG30:DI45" si="44">X30-CL30</f>
        <v>0</v>
      </c>
      <c r="DH30" s="25">
        <f t="shared" si="44"/>
        <v>0</v>
      </c>
      <c r="DI30" s="25">
        <f t="shared" si="44"/>
        <v>6122720</v>
      </c>
    </row>
    <row r="31" spans="1:115" ht="47.25" customHeight="1" x14ac:dyDescent="0.25">
      <c r="A31" s="31"/>
      <c r="B31" s="187"/>
      <c r="C31" s="21" t="s">
        <v>113</v>
      </c>
      <c r="D31" s="22" t="s">
        <v>114</v>
      </c>
      <c r="E31" s="23">
        <v>410</v>
      </c>
      <c r="F31" s="24" t="s">
        <v>115</v>
      </c>
      <c r="G31" s="25">
        <f t="shared" si="31"/>
        <v>10000000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>
        <f>5000000+5000000</f>
        <v>10000000</v>
      </c>
      <c r="AB31" s="27">
        <f t="shared" si="1"/>
        <v>0.16064239999999999</v>
      </c>
      <c r="AC31" s="25">
        <f t="shared" si="32"/>
        <v>1606424</v>
      </c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>
        <f>+'[3]ABRIL 2016'!$G$646</f>
        <v>1606424</v>
      </c>
      <c r="AX31" s="27">
        <f t="shared" si="3"/>
        <v>0.83935760000000004</v>
      </c>
      <c r="AY31" s="25">
        <f t="shared" si="33"/>
        <v>8393576</v>
      </c>
      <c r="AZ31" s="25">
        <f t="shared" si="34"/>
        <v>0</v>
      </c>
      <c r="BA31" s="25">
        <f t="shared" si="34"/>
        <v>0</v>
      </c>
      <c r="BB31" s="25">
        <f t="shared" si="34"/>
        <v>0</v>
      </c>
      <c r="BC31" s="25">
        <f t="shared" si="35"/>
        <v>0</v>
      </c>
      <c r="BD31" s="25">
        <f t="shared" si="35"/>
        <v>0</v>
      </c>
      <c r="BE31" s="25">
        <f t="shared" si="35"/>
        <v>0</v>
      </c>
      <c r="BF31" s="25">
        <f t="shared" si="35"/>
        <v>0</v>
      </c>
      <c r="BG31" s="25">
        <f t="shared" si="35"/>
        <v>0</v>
      </c>
      <c r="BH31" s="25">
        <f t="shared" si="35"/>
        <v>0</v>
      </c>
      <c r="BI31" s="25">
        <f t="shared" si="35"/>
        <v>0</v>
      </c>
      <c r="BJ31" s="25">
        <f t="shared" si="35"/>
        <v>0</v>
      </c>
      <c r="BK31" s="25">
        <f t="shared" si="35"/>
        <v>0</v>
      </c>
      <c r="BL31" s="25"/>
      <c r="BM31" s="25">
        <f t="shared" si="35"/>
        <v>0</v>
      </c>
      <c r="BN31" s="25">
        <f t="shared" si="35"/>
        <v>0</v>
      </c>
      <c r="BO31" s="25"/>
      <c r="BP31" s="25"/>
      <c r="BQ31" s="25"/>
      <c r="BR31" s="25">
        <f t="shared" si="36"/>
        <v>8393576</v>
      </c>
      <c r="BS31" s="27">
        <f t="shared" si="10"/>
        <v>0.16064239999999999</v>
      </c>
      <c r="BT31" s="25">
        <f t="shared" si="37"/>
        <v>1606424</v>
      </c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>
        <f>+'[3]ABRIL 2016'!$H$646</f>
        <v>1606424</v>
      </c>
      <c r="CO31" s="27">
        <f t="shared" si="12"/>
        <v>0.83935760000000004</v>
      </c>
      <c r="CP31" s="25">
        <f t="shared" si="38"/>
        <v>8393576</v>
      </c>
      <c r="CQ31" s="25">
        <f t="shared" si="39"/>
        <v>0</v>
      </c>
      <c r="CR31" s="25">
        <f t="shared" si="39"/>
        <v>0</v>
      </c>
      <c r="CS31" s="25">
        <f t="shared" si="39"/>
        <v>0</v>
      </c>
      <c r="CT31" s="25">
        <f t="shared" si="39"/>
        <v>0</v>
      </c>
      <c r="CU31" s="25">
        <f t="shared" si="39"/>
        <v>0</v>
      </c>
      <c r="CV31" s="25">
        <f t="shared" si="39"/>
        <v>0</v>
      </c>
      <c r="CW31" s="25">
        <f t="shared" si="40"/>
        <v>0</v>
      </c>
      <c r="CX31" s="25">
        <f t="shared" si="40"/>
        <v>0</v>
      </c>
      <c r="CY31" s="25">
        <f t="shared" si="40"/>
        <v>0</v>
      </c>
      <c r="CZ31" s="25">
        <f t="shared" si="41"/>
        <v>0</v>
      </c>
      <c r="DA31" s="25">
        <f t="shared" si="41"/>
        <v>0</v>
      </c>
      <c r="DB31" s="25">
        <f t="shared" si="41"/>
        <v>0</v>
      </c>
      <c r="DC31" s="25">
        <f t="shared" si="41"/>
        <v>0</v>
      </c>
      <c r="DD31" s="25">
        <f t="shared" si="41"/>
        <v>0</v>
      </c>
      <c r="DE31" s="25">
        <f t="shared" si="41"/>
        <v>0</v>
      </c>
      <c r="DF31" s="25"/>
      <c r="DG31" s="25">
        <f t="shared" si="44"/>
        <v>0</v>
      </c>
      <c r="DH31" s="25">
        <f t="shared" si="44"/>
        <v>0</v>
      </c>
      <c r="DI31" s="25">
        <f t="shared" si="44"/>
        <v>8393576</v>
      </c>
    </row>
    <row r="32" spans="1:115" ht="60" x14ac:dyDescent="0.25">
      <c r="A32" s="31"/>
      <c r="B32" s="188"/>
      <c r="C32" s="21" t="s">
        <v>116</v>
      </c>
      <c r="D32" s="22" t="s">
        <v>117</v>
      </c>
      <c r="E32" s="23">
        <v>410</v>
      </c>
      <c r="F32" s="24" t="s">
        <v>118</v>
      </c>
      <c r="G32" s="25">
        <f t="shared" si="31"/>
        <v>161295383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>
        <v>110000000</v>
      </c>
      <c r="V32" s="25"/>
      <c r="W32" s="25">
        <f>11169156+40126227</f>
        <v>51295383</v>
      </c>
      <c r="X32" s="25"/>
      <c r="Y32" s="25"/>
      <c r="Z32" s="25"/>
      <c r="AB32" s="27">
        <f t="shared" si="1"/>
        <v>1</v>
      </c>
      <c r="AC32" s="25">
        <f t="shared" si="32"/>
        <v>161295383</v>
      </c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>
        <f>+'[4]ENERO 2016'!$Y$308</f>
        <v>110000000</v>
      </c>
      <c r="AS32" s="25"/>
      <c r="AT32" s="25">
        <f>+'[1]AGOSTO 2016'!$AA$1161</f>
        <v>51295383</v>
      </c>
      <c r="AU32" s="25"/>
      <c r="AV32" s="25"/>
      <c r="AW32" s="25"/>
      <c r="AX32" s="27">
        <f t="shared" si="3"/>
        <v>0</v>
      </c>
      <c r="AY32" s="25">
        <f t="shared" si="33"/>
        <v>0</v>
      </c>
      <c r="AZ32" s="25">
        <f t="shared" si="34"/>
        <v>0</v>
      </c>
      <c r="BA32" s="25">
        <f t="shared" si="34"/>
        <v>0</v>
      </c>
      <c r="BB32" s="25">
        <f t="shared" si="34"/>
        <v>0</v>
      </c>
      <c r="BC32" s="25">
        <f t="shared" si="35"/>
        <v>0</v>
      </c>
      <c r="BD32" s="25">
        <f t="shared" si="35"/>
        <v>0</v>
      </c>
      <c r="BE32" s="25">
        <f t="shared" si="35"/>
        <v>0</v>
      </c>
      <c r="BF32" s="25">
        <f t="shared" si="35"/>
        <v>0</v>
      </c>
      <c r="BG32" s="25">
        <f t="shared" si="35"/>
        <v>0</v>
      </c>
      <c r="BH32" s="25">
        <f t="shared" si="35"/>
        <v>0</v>
      </c>
      <c r="BI32" s="25">
        <f t="shared" si="35"/>
        <v>0</v>
      </c>
      <c r="BJ32" s="25">
        <f t="shared" si="35"/>
        <v>0</v>
      </c>
      <c r="BK32" s="25">
        <f t="shared" si="35"/>
        <v>0</v>
      </c>
      <c r="BL32" s="25"/>
      <c r="BM32" s="25">
        <f t="shared" si="35"/>
        <v>0</v>
      </c>
      <c r="BN32" s="25">
        <f t="shared" si="35"/>
        <v>0</v>
      </c>
      <c r="BO32" s="25">
        <f>+W32-AT32</f>
        <v>0</v>
      </c>
      <c r="BP32" s="25"/>
      <c r="BQ32" s="25"/>
      <c r="BR32" s="25">
        <f t="shared" si="36"/>
        <v>0</v>
      </c>
      <c r="BS32" s="27">
        <f t="shared" si="10"/>
        <v>0.59942486388466554</v>
      </c>
      <c r="BT32" s="25">
        <f t="shared" si="37"/>
        <v>96684463</v>
      </c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>
        <f>+'[1]AGOSTO 2016'!$H$1162+'[1]AGOSTO 2016'!$H$1177+'[1]AGOSTO 2016'!$H$1191</f>
        <v>96684463</v>
      </c>
      <c r="CJ32" s="25"/>
      <c r="CK32" s="25"/>
      <c r="CL32" s="25"/>
      <c r="CM32" s="25"/>
      <c r="CN32" s="25"/>
      <c r="CO32" s="27">
        <f t="shared" si="12"/>
        <v>0.40057513611533446</v>
      </c>
      <c r="CP32" s="25">
        <f t="shared" si="38"/>
        <v>64610920</v>
      </c>
      <c r="CQ32" s="25">
        <f t="shared" si="39"/>
        <v>0</v>
      </c>
      <c r="CR32" s="25">
        <f t="shared" si="39"/>
        <v>0</v>
      </c>
      <c r="CS32" s="25">
        <f t="shared" si="39"/>
        <v>0</v>
      </c>
      <c r="CT32" s="25">
        <f t="shared" si="39"/>
        <v>0</v>
      </c>
      <c r="CU32" s="25">
        <f t="shared" si="39"/>
        <v>0</v>
      </c>
      <c r="CV32" s="25">
        <f t="shared" si="39"/>
        <v>0</v>
      </c>
      <c r="CW32" s="25">
        <f t="shared" si="40"/>
        <v>0</v>
      </c>
      <c r="CX32" s="25">
        <f t="shared" si="40"/>
        <v>0</v>
      </c>
      <c r="CY32" s="25">
        <f t="shared" si="40"/>
        <v>0</v>
      </c>
      <c r="CZ32" s="25">
        <f t="shared" si="41"/>
        <v>0</v>
      </c>
      <c r="DA32" s="25">
        <f t="shared" si="41"/>
        <v>0</v>
      </c>
      <c r="DB32" s="25">
        <f t="shared" si="41"/>
        <v>0</v>
      </c>
      <c r="DC32" s="25">
        <f t="shared" si="41"/>
        <v>0</v>
      </c>
      <c r="DD32" s="25">
        <f t="shared" si="41"/>
        <v>13315537</v>
      </c>
      <c r="DE32" s="25">
        <f t="shared" si="41"/>
        <v>0</v>
      </c>
      <c r="DF32" s="25">
        <f>W32-CK32</f>
        <v>51295383</v>
      </c>
      <c r="DG32" s="25">
        <f t="shared" si="44"/>
        <v>0</v>
      </c>
      <c r="DH32" s="25">
        <f t="shared" si="44"/>
        <v>0</v>
      </c>
      <c r="DI32" s="25">
        <f t="shared" si="44"/>
        <v>0</v>
      </c>
      <c r="DK32" s="54"/>
    </row>
    <row r="33" spans="1:113" ht="34.5" customHeight="1" x14ac:dyDescent="0.25">
      <c r="A33" s="193" t="s">
        <v>87</v>
      </c>
      <c r="B33" s="186" t="s">
        <v>119</v>
      </c>
      <c r="C33" s="21" t="s">
        <v>120</v>
      </c>
      <c r="D33" s="22" t="s">
        <v>121</v>
      </c>
      <c r="E33" s="33">
        <v>410</v>
      </c>
      <c r="F33" s="24" t="s">
        <v>91</v>
      </c>
      <c r="G33" s="25">
        <f t="shared" si="31"/>
        <v>55000000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>
        <v>55000000</v>
      </c>
      <c r="V33" s="25"/>
      <c r="W33" s="25"/>
      <c r="X33" s="25"/>
      <c r="Y33" s="25"/>
      <c r="Z33" s="25"/>
      <c r="AB33" s="27">
        <f t="shared" si="1"/>
        <v>0.45671361818181816</v>
      </c>
      <c r="AC33" s="25">
        <f t="shared" si="32"/>
        <v>25119249</v>
      </c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>
        <f>+'[1]AGOSTO 2016'!$Y$1199</f>
        <v>25119249</v>
      </c>
      <c r="AS33" s="25"/>
      <c r="AT33" s="25"/>
      <c r="AU33" s="25"/>
      <c r="AV33" s="25"/>
      <c r="AW33" s="25"/>
      <c r="AX33" s="27">
        <f t="shared" si="3"/>
        <v>0.5432863818181819</v>
      </c>
      <c r="AY33" s="25">
        <f t="shared" si="33"/>
        <v>29880751</v>
      </c>
      <c r="AZ33" s="25">
        <f t="shared" si="34"/>
        <v>0</v>
      </c>
      <c r="BA33" s="25">
        <f t="shared" si="34"/>
        <v>0</v>
      </c>
      <c r="BB33" s="25">
        <f t="shared" si="34"/>
        <v>0</v>
      </c>
      <c r="BC33" s="25">
        <f t="shared" si="35"/>
        <v>0</v>
      </c>
      <c r="BD33" s="25">
        <f t="shared" si="35"/>
        <v>0</v>
      </c>
      <c r="BE33" s="25">
        <f t="shared" si="35"/>
        <v>0</v>
      </c>
      <c r="BF33" s="25">
        <f t="shared" si="35"/>
        <v>0</v>
      </c>
      <c r="BG33" s="25">
        <f t="shared" si="35"/>
        <v>0</v>
      </c>
      <c r="BH33" s="25">
        <f t="shared" si="35"/>
        <v>0</v>
      </c>
      <c r="BI33" s="25">
        <f t="shared" si="35"/>
        <v>0</v>
      </c>
      <c r="BJ33" s="25">
        <f t="shared" si="35"/>
        <v>0</v>
      </c>
      <c r="BK33" s="25">
        <f t="shared" si="35"/>
        <v>0</v>
      </c>
      <c r="BL33" s="25">
        <f>+T33-AQ33</f>
        <v>0</v>
      </c>
      <c r="BM33" s="25">
        <f t="shared" si="35"/>
        <v>29880751</v>
      </c>
      <c r="BN33" s="25">
        <f t="shared" si="35"/>
        <v>0</v>
      </c>
      <c r="BO33" s="25"/>
      <c r="BP33" s="25"/>
      <c r="BQ33" s="25"/>
      <c r="BR33" s="25">
        <f t="shared" si="36"/>
        <v>0</v>
      </c>
      <c r="BS33" s="27">
        <f t="shared" si="10"/>
        <v>0.4251843818181818</v>
      </c>
      <c r="BT33" s="25">
        <f t="shared" si="37"/>
        <v>23385141</v>
      </c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>
        <f>+'[1]AGOSTO 2016'!$H$1197</f>
        <v>23385141</v>
      </c>
      <c r="CJ33" s="25"/>
      <c r="CK33" s="25"/>
      <c r="CL33" s="25"/>
      <c r="CM33" s="25"/>
      <c r="CN33" s="25"/>
      <c r="CO33" s="27">
        <f t="shared" si="12"/>
        <v>0.57481561818181826</v>
      </c>
      <c r="CP33" s="25">
        <f t="shared" si="38"/>
        <v>31614859</v>
      </c>
      <c r="CQ33" s="25">
        <f t="shared" si="39"/>
        <v>0</v>
      </c>
      <c r="CR33" s="25">
        <f t="shared" si="39"/>
        <v>0</v>
      </c>
      <c r="CS33" s="25">
        <f t="shared" si="39"/>
        <v>0</v>
      </c>
      <c r="CT33" s="25">
        <f t="shared" si="39"/>
        <v>0</v>
      </c>
      <c r="CU33" s="25">
        <f t="shared" si="39"/>
        <v>0</v>
      </c>
      <c r="CV33" s="25">
        <f t="shared" si="39"/>
        <v>0</v>
      </c>
      <c r="CW33" s="25">
        <f t="shared" si="40"/>
        <v>0</v>
      </c>
      <c r="CX33" s="25">
        <f t="shared" si="40"/>
        <v>0</v>
      </c>
      <c r="CY33" s="25">
        <f t="shared" si="40"/>
        <v>0</v>
      </c>
      <c r="CZ33" s="25">
        <f t="shared" si="41"/>
        <v>0</v>
      </c>
      <c r="DA33" s="25">
        <f t="shared" si="41"/>
        <v>0</v>
      </c>
      <c r="DB33" s="25">
        <f t="shared" si="41"/>
        <v>0</v>
      </c>
      <c r="DC33" s="25">
        <f t="shared" ref="DC33:DE35" si="45">+T33-CH33</f>
        <v>0</v>
      </c>
      <c r="DD33" s="25">
        <f t="shared" si="45"/>
        <v>31614859</v>
      </c>
      <c r="DE33" s="25">
        <f t="shared" si="45"/>
        <v>0</v>
      </c>
      <c r="DF33" s="25"/>
      <c r="DG33" s="25">
        <f>+X33-CL33</f>
        <v>0</v>
      </c>
      <c r="DH33" s="25">
        <f t="shared" si="44"/>
        <v>0</v>
      </c>
      <c r="DI33" s="25">
        <f>+Z33-CN33</f>
        <v>0</v>
      </c>
    </row>
    <row r="34" spans="1:113" ht="36.75" customHeight="1" x14ac:dyDescent="0.25">
      <c r="A34" s="193"/>
      <c r="B34" s="187"/>
      <c r="C34" s="21" t="s">
        <v>122</v>
      </c>
      <c r="D34" s="22" t="s">
        <v>123</v>
      </c>
      <c r="E34" s="23">
        <v>410</v>
      </c>
      <c r="F34" s="24" t="s">
        <v>124</v>
      </c>
      <c r="G34" s="25">
        <f t="shared" si="31"/>
        <v>53000000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>
        <v>50000000</v>
      </c>
      <c r="V34" s="25"/>
      <c r="W34" s="25"/>
      <c r="X34" s="25"/>
      <c r="Y34" s="25"/>
      <c r="Z34" s="25">
        <v>3000000</v>
      </c>
      <c r="AB34" s="27">
        <f t="shared" si="1"/>
        <v>0.32296618867924526</v>
      </c>
      <c r="AC34" s="25">
        <f t="shared" si="32"/>
        <v>17117208</v>
      </c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>
        <f>+'[1]AGOSTO 2016'!$Y$1231</f>
        <v>16217208</v>
      </c>
      <c r="AS34" s="25"/>
      <c r="AT34" s="25"/>
      <c r="AU34" s="25"/>
      <c r="AV34" s="25"/>
      <c r="AW34" s="25">
        <f>+'[1]AGOSTO 2016'!$AG$1231</f>
        <v>900000</v>
      </c>
      <c r="AX34" s="27">
        <f t="shared" si="3"/>
        <v>0.6770338113207548</v>
      </c>
      <c r="AY34" s="25">
        <f t="shared" si="33"/>
        <v>35882792</v>
      </c>
      <c r="AZ34" s="25">
        <f t="shared" si="34"/>
        <v>0</v>
      </c>
      <c r="BA34" s="25">
        <f t="shared" si="34"/>
        <v>0</v>
      </c>
      <c r="BB34" s="25">
        <f t="shared" si="34"/>
        <v>0</v>
      </c>
      <c r="BC34" s="25">
        <f t="shared" si="35"/>
        <v>0</v>
      </c>
      <c r="BD34" s="25">
        <f t="shared" si="35"/>
        <v>0</v>
      </c>
      <c r="BE34" s="25">
        <f t="shared" si="35"/>
        <v>0</v>
      </c>
      <c r="BF34" s="25">
        <f t="shared" si="35"/>
        <v>0</v>
      </c>
      <c r="BG34" s="25">
        <f t="shared" si="35"/>
        <v>0</v>
      </c>
      <c r="BH34" s="25">
        <f t="shared" si="35"/>
        <v>0</v>
      </c>
      <c r="BI34" s="25">
        <f t="shared" si="35"/>
        <v>0</v>
      </c>
      <c r="BJ34" s="25">
        <f t="shared" si="35"/>
        <v>0</v>
      </c>
      <c r="BK34" s="25">
        <f t="shared" si="35"/>
        <v>0</v>
      </c>
      <c r="BL34" s="25">
        <f>+T34-AQ34</f>
        <v>0</v>
      </c>
      <c r="BM34" s="25">
        <f t="shared" si="35"/>
        <v>33782792</v>
      </c>
      <c r="BN34" s="25">
        <f t="shared" si="35"/>
        <v>0</v>
      </c>
      <c r="BO34" s="25"/>
      <c r="BP34" s="25"/>
      <c r="BQ34" s="25"/>
      <c r="BR34" s="25">
        <f t="shared" si="36"/>
        <v>2100000</v>
      </c>
      <c r="BS34" s="27">
        <f t="shared" si="10"/>
        <v>0.27767788679245281</v>
      </c>
      <c r="BT34" s="25">
        <f t="shared" si="37"/>
        <v>14716928</v>
      </c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>
        <f>+'[1]AGOSTO 2016'!$H$1229</f>
        <v>14716928</v>
      </c>
      <c r="CJ34" s="25"/>
      <c r="CK34" s="25"/>
      <c r="CL34" s="25"/>
      <c r="CM34" s="25"/>
      <c r="CN34" s="25"/>
      <c r="CO34" s="27">
        <f t="shared" si="12"/>
        <v>0.72232211320754725</v>
      </c>
      <c r="CP34" s="25">
        <f t="shared" si="38"/>
        <v>38283072</v>
      </c>
      <c r="CQ34" s="25">
        <f t="shared" si="39"/>
        <v>0</v>
      </c>
      <c r="CR34" s="25">
        <f t="shared" si="39"/>
        <v>0</v>
      </c>
      <c r="CS34" s="25">
        <f t="shared" si="39"/>
        <v>0</v>
      </c>
      <c r="CT34" s="25">
        <f t="shared" si="39"/>
        <v>0</v>
      </c>
      <c r="CU34" s="25">
        <f t="shared" si="39"/>
        <v>0</v>
      </c>
      <c r="CV34" s="25">
        <f t="shared" si="39"/>
        <v>0</v>
      </c>
      <c r="CW34" s="25">
        <f t="shared" si="40"/>
        <v>0</v>
      </c>
      <c r="CX34" s="25">
        <f t="shared" si="40"/>
        <v>0</v>
      </c>
      <c r="CY34" s="25">
        <f t="shared" si="40"/>
        <v>0</v>
      </c>
      <c r="CZ34" s="25">
        <f t="shared" si="41"/>
        <v>0</v>
      </c>
      <c r="DA34" s="25">
        <f t="shared" si="41"/>
        <v>0</v>
      </c>
      <c r="DB34" s="25">
        <f t="shared" si="41"/>
        <v>0</v>
      </c>
      <c r="DC34" s="25">
        <f t="shared" si="45"/>
        <v>0</v>
      </c>
      <c r="DD34" s="25">
        <f t="shared" si="45"/>
        <v>35283072</v>
      </c>
      <c r="DE34" s="25">
        <f t="shared" si="45"/>
        <v>0</v>
      </c>
      <c r="DF34" s="25"/>
      <c r="DG34" s="25">
        <f>+X34-CL34</f>
        <v>0</v>
      </c>
      <c r="DH34" s="25">
        <f t="shared" si="44"/>
        <v>0</v>
      </c>
      <c r="DI34" s="25">
        <f>+Z34-CN34</f>
        <v>3000000</v>
      </c>
    </row>
    <row r="35" spans="1:113" ht="24" customHeight="1" x14ac:dyDescent="0.25">
      <c r="A35" s="193"/>
      <c r="B35" s="187"/>
      <c r="C35" s="21" t="s">
        <v>125</v>
      </c>
      <c r="D35" s="22" t="s">
        <v>126</v>
      </c>
      <c r="E35" s="23">
        <v>410</v>
      </c>
      <c r="F35" s="24" t="s">
        <v>91</v>
      </c>
      <c r="G35" s="25">
        <f t="shared" si="31"/>
        <v>34794000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>
        <f>40000000-5206000</f>
        <v>34794000</v>
      </c>
      <c r="V35" s="25"/>
      <c r="W35" s="25"/>
      <c r="X35" s="25"/>
      <c r="Y35" s="25"/>
      <c r="Z35" s="25"/>
      <c r="AB35" s="27">
        <f t="shared" si="1"/>
        <v>1</v>
      </c>
      <c r="AC35" s="25">
        <f t="shared" si="32"/>
        <v>34794000</v>
      </c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>
        <f>+'[1]AGOSTO 2016'!$Y$1264</f>
        <v>34794000</v>
      </c>
      <c r="AS35" s="25"/>
      <c r="AT35" s="25"/>
      <c r="AU35" s="25"/>
      <c r="AV35" s="25"/>
      <c r="AW35" s="25"/>
      <c r="AX35" s="27">
        <f t="shared" si="3"/>
        <v>0</v>
      </c>
      <c r="AY35" s="25">
        <f t="shared" si="33"/>
        <v>0</v>
      </c>
      <c r="AZ35" s="25">
        <f t="shared" si="34"/>
        <v>0</v>
      </c>
      <c r="BA35" s="25">
        <f t="shared" si="34"/>
        <v>0</v>
      </c>
      <c r="BB35" s="25">
        <f t="shared" si="34"/>
        <v>0</v>
      </c>
      <c r="BC35" s="25">
        <f t="shared" si="35"/>
        <v>0</v>
      </c>
      <c r="BD35" s="25">
        <f t="shared" si="35"/>
        <v>0</v>
      </c>
      <c r="BE35" s="25">
        <f t="shared" si="35"/>
        <v>0</v>
      </c>
      <c r="BF35" s="25">
        <f t="shared" si="35"/>
        <v>0</v>
      </c>
      <c r="BG35" s="25">
        <f t="shared" si="35"/>
        <v>0</v>
      </c>
      <c r="BH35" s="25">
        <f t="shared" si="35"/>
        <v>0</v>
      </c>
      <c r="BI35" s="25">
        <f t="shared" si="35"/>
        <v>0</v>
      </c>
      <c r="BJ35" s="25">
        <f t="shared" si="35"/>
        <v>0</v>
      </c>
      <c r="BK35" s="25">
        <f t="shared" si="35"/>
        <v>0</v>
      </c>
      <c r="BL35" s="25">
        <f>+T35-AQ35</f>
        <v>0</v>
      </c>
      <c r="BM35" s="25">
        <f t="shared" si="35"/>
        <v>0</v>
      </c>
      <c r="BN35" s="25">
        <f t="shared" si="35"/>
        <v>0</v>
      </c>
      <c r="BO35" s="25"/>
      <c r="BP35" s="25"/>
      <c r="BQ35" s="25"/>
      <c r="BR35" s="25">
        <f t="shared" si="36"/>
        <v>0</v>
      </c>
      <c r="BS35" s="27">
        <f t="shared" si="10"/>
        <v>0.8322222222222222</v>
      </c>
      <c r="BT35" s="25">
        <f t="shared" si="37"/>
        <v>28956340</v>
      </c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>
        <f>+'[2]MARZO 2016 ULTIMO'!$H$552</f>
        <v>28956340</v>
      </c>
      <c r="CJ35" s="25"/>
      <c r="CK35" s="25"/>
      <c r="CL35" s="25"/>
      <c r="CM35" s="25"/>
      <c r="CN35" s="25"/>
      <c r="CO35" s="27">
        <f t="shared" si="12"/>
        <v>0.1677777777777778</v>
      </c>
      <c r="CP35" s="25">
        <f t="shared" si="38"/>
        <v>5837660</v>
      </c>
      <c r="CQ35" s="25">
        <f t="shared" si="39"/>
        <v>0</v>
      </c>
      <c r="CR35" s="25">
        <f t="shared" si="39"/>
        <v>0</v>
      </c>
      <c r="CS35" s="25">
        <f t="shared" si="39"/>
        <v>0</v>
      </c>
      <c r="CT35" s="25">
        <f t="shared" si="39"/>
        <v>0</v>
      </c>
      <c r="CU35" s="25">
        <f t="shared" si="39"/>
        <v>0</v>
      </c>
      <c r="CV35" s="25">
        <f t="shared" si="39"/>
        <v>0</v>
      </c>
      <c r="CW35" s="25">
        <f t="shared" si="40"/>
        <v>0</v>
      </c>
      <c r="CX35" s="25">
        <f t="shared" si="40"/>
        <v>0</v>
      </c>
      <c r="CY35" s="25">
        <f t="shared" si="40"/>
        <v>0</v>
      </c>
      <c r="CZ35" s="25">
        <f t="shared" si="41"/>
        <v>0</v>
      </c>
      <c r="DA35" s="25">
        <f t="shared" si="41"/>
        <v>0</v>
      </c>
      <c r="DB35" s="25">
        <f t="shared" si="41"/>
        <v>0</v>
      </c>
      <c r="DC35" s="25">
        <f t="shared" si="45"/>
        <v>0</v>
      </c>
      <c r="DD35" s="25">
        <f t="shared" si="45"/>
        <v>5837660</v>
      </c>
      <c r="DE35" s="25">
        <f t="shared" si="45"/>
        <v>0</v>
      </c>
      <c r="DF35" s="25"/>
      <c r="DG35" s="25">
        <f>+X35-CL35</f>
        <v>0</v>
      </c>
      <c r="DH35" s="25">
        <f t="shared" si="44"/>
        <v>0</v>
      </c>
      <c r="DI35" s="25">
        <f>+Z35-CN35</f>
        <v>0</v>
      </c>
    </row>
    <row r="36" spans="1:113" ht="24.75" customHeight="1" x14ac:dyDescent="0.25">
      <c r="A36" s="193"/>
      <c r="B36" s="188"/>
      <c r="C36" s="21" t="s">
        <v>127</v>
      </c>
      <c r="D36" s="22" t="s">
        <v>128</v>
      </c>
      <c r="E36" s="23">
        <v>410</v>
      </c>
      <c r="F36" s="24" t="s">
        <v>91</v>
      </c>
      <c r="G36" s="25">
        <f t="shared" si="31"/>
        <v>105000000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>
        <v>105000000</v>
      </c>
      <c r="V36" s="25"/>
      <c r="W36" s="25"/>
      <c r="X36" s="25"/>
      <c r="Y36" s="25"/>
      <c r="Z36" s="25"/>
      <c r="AB36" s="27">
        <f t="shared" si="1"/>
        <v>1</v>
      </c>
      <c r="AC36" s="25">
        <f t="shared" si="32"/>
        <v>105000000</v>
      </c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>
        <f>+'[7]JUNIO 2016'!$Y$953</f>
        <v>105000000</v>
      </c>
      <c r="AS36" s="25"/>
      <c r="AT36" s="25"/>
      <c r="AU36" s="25"/>
      <c r="AV36" s="25"/>
      <c r="AW36" s="25"/>
      <c r="AX36" s="27">
        <f t="shared" si="3"/>
        <v>0</v>
      </c>
      <c r="AY36" s="25">
        <f t="shared" si="33"/>
        <v>0</v>
      </c>
      <c r="AZ36" s="25">
        <f t="shared" si="34"/>
        <v>0</v>
      </c>
      <c r="BA36" s="25">
        <f t="shared" si="34"/>
        <v>0</v>
      </c>
      <c r="BB36" s="25">
        <f t="shared" si="34"/>
        <v>0</v>
      </c>
      <c r="BC36" s="25">
        <f t="shared" si="34"/>
        <v>0</v>
      </c>
      <c r="BD36" s="25">
        <f t="shared" si="34"/>
        <v>0</v>
      </c>
      <c r="BE36" s="25">
        <f t="shared" si="34"/>
        <v>0</v>
      </c>
      <c r="BF36" s="25">
        <f t="shared" si="34"/>
        <v>0</v>
      </c>
      <c r="BG36" s="25">
        <f t="shared" si="34"/>
        <v>0</v>
      </c>
      <c r="BH36" s="25">
        <f t="shared" si="34"/>
        <v>0</v>
      </c>
      <c r="BI36" s="25">
        <f t="shared" si="34"/>
        <v>0</v>
      </c>
      <c r="BJ36" s="25">
        <f t="shared" si="34"/>
        <v>0</v>
      </c>
      <c r="BK36" s="25">
        <f t="shared" si="34"/>
        <v>0</v>
      </c>
      <c r="BL36" s="25">
        <f t="shared" si="34"/>
        <v>0</v>
      </c>
      <c r="BM36" s="25">
        <f t="shared" si="34"/>
        <v>0</v>
      </c>
      <c r="BN36" s="25">
        <f t="shared" si="34"/>
        <v>0</v>
      </c>
      <c r="BO36" s="25"/>
      <c r="BP36" s="25">
        <f>X36-AU36</f>
        <v>0</v>
      </c>
      <c r="BQ36" s="25">
        <f>Y36-AV36</f>
        <v>0</v>
      </c>
      <c r="BR36" s="25">
        <f>Z36-AW36</f>
        <v>0</v>
      </c>
      <c r="BS36" s="27">
        <f t="shared" si="10"/>
        <v>1</v>
      </c>
      <c r="BT36" s="25">
        <f t="shared" si="37"/>
        <v>105000000</v>
      </c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>
        <f>+'[7]JUNIO 2016'!$H$951</f>
        <v>105000000</v>
      </c>
      <c r="CJ36" s="25"/>
      <c r="CK36" s="25"/>
      <c r="CL36" s="25"/>
      <c r="CM36" s="25"/>
      <c r="CN36" s="25"/>
      <c r="CO36" s="27">
        <f t="shared" si="12"/>
        <v>0</v>
      </c>
      <c r="CP36" s="25">
        <f t="shared" si="38"/>
        <v>0</v>
      </c>
      <c r="CQ36" s="25">
        <f t="shared" si="39"/>
        <v>0</v>
      </c>
      <c r="CR36" s="25">
        <f t="shared" si="39"/>
        <v>0</v>
      </c>
      <c r="CS36" s="25">
        <f t="shared" si="39"/>
        <v>0</v>
      </c>
      <c r="CT36" s="25">
        <f t="shared" si="39"/>
        <v>0</v>
      </c>
      <c r="CU36" s="25">
        <f t="shared" si="39"/>
        <v>0</v>
      </c>
      <c r="CV36" s="25">
        <f t="shared" si="39"/>
        <v>0</v>
      </c>
      <c r="CW36" s="25">
        <f>N36-CB36</f>
        <v>0</v>
      </c>
      <c r="CX36" s="25">
        <f>O36-CC36</f>
        <v>0</v>
      </c>
      <c r="CY36" s="25">
        <f>P36-CD36</f>
        <v>0</v>
      </c>
      <c r="CZ36" s="25">
        <f t="shared" si="41"/>
        <v>0</v>
      </c>
      <c r="DA36" s="25">
        <f t="shared" si="41"/>
        <v>0</v>
      </c>
      <c r="DB36" s="25">
        <f t="shared" si="41"/>
        <v>0</v>
      </c>
      <c r="DC36" s="25">
        <f>T36-CH36</f>
        <v>0</v>
      </c>
      <c r="DD36" s="25">
        <f>U36-CI36</f>
        <v>0</v>
      </c>
      <c r="DE36" s="25">
        <f>V36-CJ36</f>
        <v>0</v>
      </c>
      <c r="DF36" s="25"/>
      <c r="DG36" s="25">
        <f>X36-CL36</f>
        <v>0</v>
      </c>
      <c r="DH36" s="25">
        <f t="shared" si="44"/>
        <v>0</v>
      </c>
      <c r="DI36" s="25">
        <f>Z36-CN36</f>
        <v>0</v>
      </c>
    </row>
    <row r="37" spans="1:113" ht="33.75" customHeight="1" x14ac:dyDescent="0.25">
      <c r="A37" s="193"/>
      <c r="B37" s="186" t="s">
        <v>129</v>
      </c>
      <c r="C37" s="21" t="s">
        <v>130</v>
      </c>
      <c r="D37" s="22" t="s">
        <v>131</v>
      </c>
      <c r="E37" s="23">
        <v>410</v>
      </c>
      <c r="F37" s="24" t="s">
        <v>91</v>
      </c>
      <c r="G37" s="25">
        <f t="shared" si="31"/>
        <v>280000000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>
        <v>280000000</v>
      </c>
      <c r="T37" s="25"/>
      <c r="U37" s="25"/>
      <c r="V37" s="25"/>
      <c r="W37" s="25"/>
      <c r="X37" s="25"/>
      <c r="Y37" s="25"/>
      <c r="Z37" s="25"/>
      <c r="AB37" s="27">
        <f t="shared" si="1"/>
        <v>0.70340974642857146</v>
      </c>
      <c r="AC37" s="25">
        <f t="shared" si="32"/>
        <v>196954729</v>
      </c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>
        <f>+'[1]AGOSTO 2016'!$W$1300</f>
        <v>196954729</v>
      </c>
      <c r="AQ37" s="25"/>
      <c r="AR37" s="25"/>
      <c r="AS37" s="25"/>
      <c r="AT37" s="25"/>
      <c r="AU37" s="25"/>
      <c r="AV37" s="25"/>
      <c r="AW37" s="25"/>
      <c r="AX37" s="27">
        <f t="shared" si="3"/>
        <v>0.29659025357142854</v>
      </c>
      <c r="AY37" s="25">
        <f t="shared" si="33"/>
        <v>83045271</v>
      </c>
      <c r="AZ37" s="25">
        <f t="shared" si="34"/>
        <v>0</v>
      </c>
      <c r="BA37" s="25">
        <f t="shared" si="34"/>
        <v>0</v>
      </c>
      <c r="BB37" s="25">
        <f t="shared" si="34"/>
        <v>0</v>
      </c>
      <c r="BC37" s="25">
        <f t="shared" ref="BC37:BN52" si="46">+K37-AH37</f>
        <v>0</v>
      </c>
      <c r="BD37" s="25">
        <f t="shared" si="46"/>
        <v>0</v>
      </c>
      <c r="BE37" s="25">
        <f t="shared" si="46"/>
        <v>0</v>
      </c>
      <c r="BF37" s="25">
        <f t="shared" si="46"/>
        <v>0</v>
      </c>
      <c r="BG37" s="25">
        <f t="shared" si="46"/>
        <v>0</v>
      </c>
      <c r="BH37" s="25">
        <f t="shared" si="46"/>
        <v>0</v>
      </c>
      <c r="BI37" s="25">
        <f t="shared" si="46"/>
        <v>0</v>
      </c>
      <c r="BJ37" s="25">
        <f t="shared" si="46"/>
        <v>0</v>
      </c>
      <c r="BK37" s="25">
        <f t="shared" si="46"/>
        <v>83045271</v>
      </c>
      <c r="BL37" s="25">
        <f t="shared" si="46"/>
        <v>0</v>
      </c>
      <c r="BM37" s="25">
        <f t="shared" si="46"/>
        <v>0</v>
      </c>
      <c r="BN37" s="25">
        <f t="shared" si="46"/>
        <v>0</v>
      </c>
      <c r="BO37" s="25"/>
      <c r="BP37" s="25"/>
      <c r="BQ37" s="25">
        <f t="shared" ref="BQ37:BQ57" si="47">Y37-AV37</f>
        <v>0</v>
      </c>
      <c r="BR37" s="25">
        <f t="shared" ref="BR37:BR57" si="48">+Z37-AW37</f>
        <v>0</v>
      </c>
      <c r="BS37" s="27">
        <f t="shared" si="10"/>
        <v>0.61781331785714289</v>
      </c>
      <c r="BT37" s="25">
        <f t="shared" si="37"/>
        <v>172987729</v>
      </c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>
        <f>+'[1]AGOSTO 2016'!$H$1298</f>
        <v>172987729</v>
      </c>
      <c r="CH37" s="25"/>
      <c r="CI37" s="25"/>
      <c r="CJ37" s="25"/>
      <c r="CK37" s="25"/>
      <c r="CL37" s="25"/>
      <c r="CM37" s="25"/>
      <c r="CN37" s="25"/>
      <c r="CO37" s="27">
        <f t="shared" si="12"/>
        <v>0.38218668214285711</v>
      </c>
      <c r="CP37" s="25">
        <f t="shared" si="38"/>
        <v>107012271</v>
      </c>
      <c r="CQ37" s="25">
        <f t="shared" si="39"/>
        <v>0</v>
      </c>
      <c r="CR37" s="25">
        <f t="shared" si="39"/>
        <v>0</v>
      </c>
      <c r="CS37" s="25">
        <f t="shared" si="39"/>
        <v>0</v>
      </c>
      <c r="CT37" s="25">
        <f t="shared" si="39"/>
        <v>0</v>
      </c>
      <c r="CU37" s="25">
        <f t="shared" si="39"/>
        <v>0</v>
      </c>
      <c r="CV37" s="25">
        <f t="shared" si="39"/>
        <v>0</v>
      </c>
      <c r="CW37" s="25">
        <f t="shared" ref="CW37:DB48" si="49">+N37-CB37</f>
        <v>0</v>
      </c>
      <c r="CX37" s="25">
        <f t="shared" si="49"/>
        <v>0</v>
      </c>
      <c r="CY37" s="25">
        <f t="shared" si="49"/>
        <v>0</v>
      </c>
      <c r="CZ37" s="25">
        <f t="shared" si="41"/>
        <v>0</v>
      </c>
      <c r="DA37" s="25">
        <f t="shared" si="41"/>
        <v>0</v>
      </c>
      <c r="DB37" s="25">
        <f t="shared" si="41"/>
        <v>107012271</v>
      </c>
      <c r="DC37" s="25">
        <f t="shared" ref="DC37:DE48" si="50">+T37-CH37</f>
        <v>0</v>
      </c>
      <c r="DD37" s="25">
        <f t="shared" si="50"/>
        <v>0</v>
      </c>
      <c r="DE37" s="25">
        <f t="shared" si="50"/>
        <v>0</v>
      </c>
      <c r="DF37" s="25"/>
      <c r="DG37" s="25">
        <f t="shared" ref="DG37:DG48" si="51">+X37-CL37</f>
        <v>0</v>
      </c>
      <c r="DH37" s="25">
        <f t="shared" si="44"/>
        <v>0</v>
      </c>
      <c r="DI37" s="25">
        <f t="shared" ref="DI37:DI48" si="52">+Z37-CN37</f>
        <v>0</v>
      </c>
    </row>
    <row r="38" spans="1:113" ht="42" customHeight="1" x14ac:dyDescent="0.25">
      <c r="A38" s="193"/>
      <c r="B38" s="187"/>
      <c r="C38" s="21" t="s">
        <v>132</v>
      </c>
      <c r="D38" s="55" t="s">
        <v>133</v>
      </c>
      <c r="E38" s="23">
        <v>410</v>
      </c>
      <c r="F38" s="24" t="s">
        <v>134</v>
      </c>
      <c r="G38" s="25">
        <f t="shared" si="31"/>
        <v>178627198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>
        <v>7696735</v>
      </c>
      <c r="T38" s="25"/>
      <c r="U38" s="25">
        <v>147930463</v>
      </c>
      <c r="V38" s="25"/>
      <c r="W38" s="25"/>
      <c r="X38" s="25"/>
      <c r="Y38" s="56"/>
      <c r="Z38" s="56">
        <f>35000000+3000000-15000000</f>
        <v>23000000</v>
      </c>
      <c r="AB38" s="27">
        <f t="shared" si="1"/>
        <v>0.50927316790805843</v>
      </c>
      <c r="AC38" s="25">
        <f t="shared" si="32"/>
        <v>90970039</v>
      </c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>
        <f>+'[7]JUNIO 2016'!$W$1028</f>
        <v>7654735</v>
      </c>
      <c r="AQ38" s="25"/>
      <c r="AR38" s="25">
        <f>+'[1]AGOSTO 2016'!$Y$1384</f>
        <v>61816077</v>
      </c>
      <c r="AS38" s="25"/>
      <c r="AT38" s="25"/>
      <c r="AU38" s="25"/>
      <c r="AV38" s="25"/>
      <c r="AW38" s="25">
        <f>+'[1]AGOSTO 2016'!$AG$1384</f>
        <v>21499227</v>
      </c>
      <c r="AX38" s="27">
        <f t="shared" si="3"/>
        <v>0.49072683209194157</v>
      </c>
      <c r="AY38" s="25">
        <f t="shared" si="33"/>
        <v>87657159</v>
      </c>
      <c r="AZ38" s="25">
        <f t="shared" si="34"/>
        <v>0</v>
      </c>
      <c r="BA38" s="25">
        <f t="shared" si="34"/>
        <v>0</v>
      </c>
      <c r="BB38" s="25">
        <f t="shared" si="34"/>
        <v>0</v>
      </c>
      <c r="BC38" s="25">
        <f t="shared" si="46"/>
        <v>0</v>
      </c>
      <c r="BD38" s="25">
        <f t="shared" si="46"/>
        <v>0</v>
      </c>
      <c r="BE38" s="25">
        <f t="shared" si="46"/>
        <v>0</v>
      </c>
      <c r="BF38" s="25">
        <f t="shared" si="46"/>
        <v>0</v>
      </c>
      <c r="BG38" s="25">
        <f t="shared" si="46"/>
        <v>0</v>
      </c>
      <c r="BH38" s="25">
        <f t="shared" si="46"/>
        <v>0</v>
      </c>
      <c r="BI38" s="25">
        <f t="shared" si="46"/>
        <v>0</v>
      </c>
      <c r="BJ38" s="25">
        <f t="shared" si="46"/>
        <v>0</v>
      </c>
      <c r="BK38" s="25">
        <f t="shared" si="46"/>
        <v>42000</v>
      </c>
      <c r="BL38" s="25">
        <f t="shared" si="46"/>
        <v>0</v>
      </c>
      <c r="BM38" s="25">
        <f t="shared" si="46"/>
        <v>86114386</v>
      </c>
      <c r="BN38" s="25">
        <f t="shared" si="46"/>
        <v>0</v>
      </c>
      <c r="BO38" s="25"/>
      <c r="BP38" s="25"/>
      <c r="BQ38" s="25">
        <f t="shared" si="47"/>
        <v>0</v>
      </c>
      <c r="BR38" s="25">
        <f t="shared" si="48"/>
        <v>1500773</v>
      </c>
      <c r="BS38" s="27">
        <f t="shared" si="10"/>
        <v>0.50927305594302608</v>
      </c>
      <c r="BT38" s="25">
        <f t="shared" si="37"/>
        <v>90970019</v>
      </c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>
        <f>+'[8]MAYO 2016'!$H$901+'[8]MAYO 2016'!$H$904+'[8]MAYO 2016'!$H$906+'[8]MAYO 2016'!$W$908</f>
        <v>7654735</v>
      </c>
      <c r="CH38" s="25"/>
      <c r="CI38" s="25">
        <f>+'[1]AGOSTO 2016'!$Y$1384-3</f>
        <v>61816074</v>
      </c>
      <c r="CJ38" s="25"/>
      <c r="CK38" s="25"/>
      <c r="CL38" s="25"/>
      <c r="CM38" s="25"/>
      <c r="CN38" s="25">
        <f>+'[1]AGOSTO 2016'!$AG$1384-17</f>
        <v>21499210</v>
      </c>
      <c r="CO38" s="27">
        <f t="shared" si="12"/>
        <v>0.49072694405697392</v>
      </c>
      <c r="CP38" s="25">
        <f t="shared" si="38"/>
        <v>87657179</v>
      </c>
      <c r="CQ38" s="25">
        <f t="shared" si="39"/>
        <v>0</v>
      </c>
      <c r="CR38" s="25">
        <f t="shared" si="39"/>
        <v>0</v>
      </c>
      <c r="CS38" s="25">
        <f t="shared" si="39"/>
        <v>0</v>
      </c>
      <c r="CT38" s="25">
        <f t="shared" si="39"/>
        <v>0</v>
      </c>
      <c r="CU38" s="25">
        <f t="shared" si="39"/>
        <v>0</v>
      </c>
      <c r="CV38" s="25">
        <f t="shared" si="39"/>
        <v>0</v>
      </c>
      <c r="CW38" s="25">
        <f t="shared" si="49"/>
        <v>0</v>
      </c>
      <c r="CX38" s="25">
        <f t="shared" si="49"/>
        <v>0</v>
      </c>
      <c r="CY38" s="25">
        <f t="shared" si="49"/>
        <v>0</v>
      </c>
      <c r="CZ38" s="25">
        <f t="shared" si="41"/>
        <v>0</v>
      </c>
      <c r="DA38" s="25">
        <f t="shared" si="41"/>
        <v>0</v>
      </c>
      <c r="DB38" s="25">
        <f t="shared" si="41"/>
        <v>42000</v>
      </c>
      <c r="DC38" s="25">
        <f t="shared" si="50"/>
        <v>0</v>
      </c>
      <c r="DD38" s="25">
        <f t="shared" si="50"/>
        <v>86114389</v>
      </c>
      <c r="DE38" s="25">
        <f t="shared" si="50"/>
        <v>0</v>
      </c>
      <c r="DF38" s="25"/>
      <c r="DG38" s="25">
        <f t="shared" si="51"/>
        <v>0</v>
      </c>
      <c r="DH38" s="25">
        <f t="shared" si="44"/>
        <v>0</v>
      </c>
      <c r="DI38" s="25">
        <f t="shared" si="52"/>
        <v>1500790</v>
      </c>
    </row>
    <row r="39" spans="1:113" ht="35.25" customHeight="1" x14ac:dyDescent="0.25">
      <c r="A39" s="193"/>
      <c r="B39" s="187"/>
      <c r="C39" s="21" t="s">
        <v>135</v>
      </c>
      <c r="D39" s="22" t="s">
        <v>136</v>
      </c>
      <c r="E39" s="23">
        <v>410</v>
      </c>
      <c r="F39" s="24" t="s">
        <v>91</v>
      </c>
      <c r="G39" s="25">
        <f t="shared" si="31"/>
        <v>200000000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>
        <v>100000000</v>
      </c>
      <c r="T39" s="25"/>
      <c r="U39" s="25"/>
      <c r="V39" s="25"/>
      <c r="W39" s="25"/>
      <c r="X39" s="25"/>
      <c r="Y39" s="56">
        <f>62258164+37741836</f>
        <v>100000000</v>
      </c>
      <c r="Z39" s="56"/>
      <c r="AB39" s="27">
        <f t="shared" si="1"/>
        <v>0.54790000000000005</v>
      </c>
      <c r="AC39" s="25">
        <f t="shared" si="32"/>
        <v>109580000</v>
      </c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>
        <f>+'[4]ENERO 2016'!$W$352</f>
        <v>100000000</v>
      </c>
      <c r="AQ39" s="25"/>
      <c r="AR39" s="25"/>
      <c r="AS39" s="25"/>
      <c r="AT39" s="25"/>
      <c r="AU39" s="25"/>
      <c r="AV39" s="25">
        <f>+'[7]JUNIO 2016'!$AF$1063</f>
        <v>9580000</v>
      </c>
      <c r="AW39" s="25"/>
      <c r="AX39" s="27">
        <f t="shared" si="3"/>
        <v>0.45209999999999995</v>
      </c>
      <c r="AY39" s="25">
        <f t="shared" si="33"/>
        <v>90420000</v>
      </c>
      <c r="AZ39" s="25">
        <f t="shared" si="34"/>
        <v>0</v>
      </c>
      <c r="BA39" s="25">
        <f t="shared" si="34"/>
        <v>0</v>
      </c>
      <c r="BB39" s="25">
        <f t="shared" si="34"/>
        <v>0</v>
      </c>
      <c r="BC39" s="25">
        <f t="shared" si="46"/>
        <v>0</v>
      </c>
      <c r="BD39" s="25">
        <f t="shared" si="46"/>
        <v>0</v>
      </c>
      <c r="BE39" s="25">
        <f t="shared" si="46"/>
        <v>0</v>
      </c>
      <c r="BF39" s="25">
        <f t="shared" si="46"/>
        <v>0</v>
      </c>
      <c r="BG39" s="25">
        <f t="shared" si="46"/>
        <v>0</v>
      </c>
      <c r="BH39" s="25">
        <f t="shared" si="46"/>
        <v>0</v>
      </c>
      <c r="BI39" s="25">
        <f t="shared" si="46"/>
        <v>0</v>
      </c>
      <c r="BJ39" s="25">
        <f t="shared" si="46"/>
        <v>0</v>
      </c>
      <c r="BK39" s="25">
        <f t="shared" si="46"/>
        <v>0</v>
      </c>
      <c r="BL39" s="25">
        <f t="shared" si="46"/>
        <v>0</v>
      </c>
      <c r="BM39" s="25">
        <f t="shared" si="46"/>
        <v>0</v>
      </c>
      <c r="BN39" s="25">
        <f t="shared" si="46"/>
        <v>0</v>
      </c>
      <c r="BO39" s="25"/>
      <c r="BP39" s="25"/>
      <c r="BQ39" s="25">
        <f t="shared" si="47"/>
        <v>90420000</v>
      </c>
      <c r="BR39" s="25">
        <f t="shared" si="48"/>
        <v>0</v>
      </c>
      <c r="BS39" s="27">
        <f t="shared" si="10"/>
        <v>0.54790000000000005</v>
      </c>
      <c r="BT39" s="25">
        <f t="shared" si="37"/>
        <v>109580000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>
        <f>+'[2]MARZO 2016 ULTIMO'!$H$622</f>
        <v>100000000</v>
      </c>
      <c r="CH39" s="25"/>
      <c r="CI39" s="25"/>
      <c r="CJ39" s="25"/>
      <c r="CK39" s="25"/>
      <c r="CL39" s="25"/>
      <c r="CM39" s="25">
        <f>+'[7]JUNIO 2016'!$AF$1063</f>
        <v>9580000</v>
      </c>
      <c r="CN39" s="25"/>
      <c r="CO39" s="27">
        <f t="shared" si="12"/>
        <v>0.45209999999999995</v>
      </c>
      <c r="CP39" s="25">
        <f t="shared" si="38"/>
        <v>90420000</v>
      </c>
      <c r="CQ39" s="25">
        <f t="shared" si="39"/>
        <v>0</v>
      </c>
      <c r="CR39" s="25">
        <f t="shared" si="39"/>
        <v>0</v>
      </c>
      <c r="CS39" s="25">
        <f t="shared" si="39"/>
        <v>0</v>
      </c>
      <c r="CT39" s="25">
        <f t="shared" si="39"/>
        <v>0</v>
      </c>
      <c r="CU39" s="25">
        <f t="shared" si="39"/>
        <v>0</v>
      </c>
      <c r="CV39" s="25">
        <f t="shared" si="39"/>
        <v>0</v>
      </c>
      <c r="CW39" s="25">
        <f t="shared" si="49"/>
        <v>0</v>
      </c>
      <c r="CX39" s="25">
        <f t="shared" si="49"/>
        <v>0</v>
      </c>
      <c r="CY39" s="25">
        <f t="shared" si="49"/>
        <v>0</v>
      </c>
      <c r="CZ39" s="25">
        <f t="shared" si="41"/>
        <v>0</v>
      </c>
      <c r="DA39" s="25">
        <f t="shared" si="41"/>
        <v>0</v>
      </c>
      <c r="DB39" s="25">
        <f t="shared" si="41"/>
        <v>0</v>
      </c>
      <c r="DC39" s="25">
        <f t="shared" si="50"/>
        <v>0</v>
      </c>
      <c r="DD39" s="25">
        <f t="shared" si="50"/>
        <v>0</v>
      </c>
      <c r="DE39" s="25">
        <f t="shared" si="50"/>
        <v>0</v>
      </c>
      <c r="DF39" s="25"/>
      <c r="DG39" s="25">
        <f t="shared" si="51"/>
        <v>0</v>
      </c>
      <c r="DH39" s="25">
        <f t="shared" si="44"/>
        <v>90420000</v>
      </c>
      <c r="DI39" s="25">
        <f t="shared" si="52"/>
        <v>0</v>
      </c>
    </row>
    <row r="40" spans="1:113" ht="33.75" customHeight="1" x14ac:dyDescent="0.25">
      <c r="A40" s="193"/>
      <c r="B40" s="188"/>
      <c r="C40" s="21" t="s">
        <v>137</v>
      </c>
      <c r="D40" s="22" t="s">
        <v>138</v>
      </c>
      <c r="E40" s="23">
        <v>410</v>
      </c>
      <c r="F40" s="24" t="s">
        <v>76</v>
      </c>
      <c r="G40" s="25">
        <f t="shared" si="31"/>
        <v>0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6"/>
      <c r="Z40" s="56">
        <f>5000000-5000000</f>
        <v>0</v>
      </c>
      <c r="AB40" s="27" t="e">
        <f t="shared" si="1"/>
        <v>#DIV/0!</v>
      </c>
      <c r="AC40" s="25">
        <f t="shared" si="32"/>
        <v>0</v>
      </c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7" t="e">
        <f t="shared" si="3"/>
        <v>#DIV/0!</v>
      </c>
      <c r="AY40" s="25">
        <f t="shared" si="33"/>
        <v>0</v>
      </c>
      <c r="AZ40" s="25">
        <f t="shared" si="34"/>
        <v>0</v>
      </c>
      <c r="BA40" s="25">
        <f t="shared" si="34"/>
        <v>0</v>
      </c>
      <c r="BB40" s="25">
        <f t="shared" si="34"/>
        <v>0</v>
      </c>
      <c r="BC40" s="25">
        <f t="shared" si="46"/>
        <v>0</v>
      </c>
      <c r="BD40" s="25">
        <f t="shared" si="46"/>
        <v>0</v>
      </c>
      <c r="BE40" s="25">
        <f t="shared" si="46"/>
        <v>0</v>
      </c>
      <c r="BF40" s="25">
        <f t="shared" si="46"/>
        <v>0</v>
      </c>
      <c r="BG40" s="25">
        <f t="shared" si="46"/>
        <v>0</v>
      </c>
      <c r="BH40" s="25">
        <f t="shared" si="46"/>
        <v>0</v>
      </c>
      <c r="BI40" s="25">
        <f t="shared" si="46"/>
        <v>0</v>
      </c>
      <c r="BJ40" s="25">
        <f t="shared" si="46"/>
        <v>0</v>
      </c>
      <c r="BK40" s="25">
        <f t="shared" si="46"/>
        <v>0</v>
      </c>
      <c r="BL40" s="25">
        <f t="shared" si="46"/>
        <v>0</v>
      </c>
      <c r="BM40" s="25">
        <f t="shared" si="46"/>
        <v>0</v>
      </c>
      <c r="BN40" s="25">
        <f t="shared" si="46"/>
        <v>0</v>
      </c>
      <c r="BO40" s="25"/>
      <c r="BP40" s="25"/>
      <c r="BQ40" s="25">
        <f t="shared" si="47"/>
        <v>0</v>
      </c>
      <c r="BR40" s="25">
        <f t="shared" si="48"/>
        <v>0</v>
      </c>
      <c r="BS40" s="27" t="e">
        <f t="shared" si="10"/>
        <v>#DIV/0!</v>
      </c>
      <c r="BT40" s="25">
        <f t="shared" si="37"/>
        <v>0</v>
      </c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7" t="e">
        <f t="shared" si="12"/>
        <v>#DIV/0!</v>
      </c>
      <c r="CP40" s="25">
        <f t="shared" si="38"/>
        <v>0</v>
      </c>
      <c r="CQ40" s="25">
        <f t="shared" si="39"/>
        <v>0</v>
      </c>
      <c r="CR40" s="25">
        <f t="shared" si="39"/>
        <v>0</v>
      </c>
      <c r="CS40" s="25">
        <f t="shared" si="39"/>
        <v>0</v>
      </c>
      <c r="CT40" s="25">
        <f t="shared" si="39"/>
        <v>0</v>
      </c>
      <c r="CU40" s="25">
        <f t="shared" si="39"/>
        <v>0</v>
      </c>
      <c r="CV40" s="25">
        <f t="shared" si="39"/>
        <v>0</v>
      </c>
      <c r="CW40" s="25">
        <f t="shared" si="49"/>
        <v>0</v>
      </c>
      <c r="CX40" s="25">
        <f t="shared" si="49"/>
        <v>0</v>
      </c>
      <c r="CY40" s="25">
        <f t="shared" si="49"/>
        <v>0</v>
      </c>
      <c r="CZ40" s="25">
        <f t="shared" si="41"/>
        <v>0</v>
      </c>
      <c r="DA40" s="25">
        <f t="shared" si="41"/>
        <v>0</v>
      </c>
      <c r="DB40" s="25">
        <f t="shared" si="41"/>
        <v>0</v>
      </c>
      <c r="DC40" s="25">
        <f t="shared" si="50"/>
        <v>0</v>
      </c>
      <c r="DD40" s="25">
        <f t="shared" si="50"/>
        <v>0</v>
      </c>
      <c r="DE40" s="25">
        <f t="shared" si="50"/>
        <v>0</v>
      </c>
      <c r="DF40" s="25"/>
      <c r="DG40" s="25">
        <f t="shared" si="51"/>
        <v>0</v>
      </c>
      <c r="DH40" s="25">
        <f t="shared" si="44"/>
        <v>0</v>
      </c>
      <c r="DI40" s="25">
        <f t="shared" si="52"/>
        <v>0</v>
      </c>
    </row>
    <row r="41" spans="1:113" ht="21.75" customHeight="1" x14ac:dyDescent="0.25">
      <c r="A41" s="193"/>
      <c r="B41" s="186" t="s">
        <v>139</v>
      </c>
      <c r="C41" s="21" t="s">
        <v>140</v>
      </c>
      <c r="D41" s="22" t="s">
        <v>141</v>
      </c>
      <c r="E41" s="23">
        <v>410</v>
      </c>
      <c r="F41" s="24" t="s">
        <v>91</v>
      </c>
      <c r="G41" s="25">
        <f t="shared" si="31"/>
        <v>1802332849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>
        <f>1300000000+44000000-44000000+488711643+13621206</f>
        <v>1802332849</v>
      </c>
      <c r="S41" s="25"/>
      <c r="T41" s="25"/>
      <c r="U41" s="25"/>
      <c r="V41" s="25"/>
      <c r="W41" s="25"/>
      <c r="X41" s="25"/>
      <c r="Y41" s="56"/>
      <c r="Z41" s="56"/>
      <c r="AB41" s="27">
        <f t="shared" si="1"/>
        <v>0.97820850403864557</v>
      </c>
      <c r="AC41" s="25">
        <f t="shared" si="32"/>
        <v>1763057320</v>
      </c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>
        <f>+'[1]AGOSTO 2016'!$V$1459</f>
        <v>1763057320</v>
      </c>
      <c r="AP41" s="25"/>
      <c r="AQ41" s="25"/>
      <c r="AR41" s="25"/>
      <c r="AS41" s="25"/>
      <c r="AT41" s="25"/>
      <c r="AU41" s="25"/>
      <c r="AV41" s="25"/>
      <c r="AW41" s="25"/>
      <c r="AX41" s="27">
        <f t="shared" si="3"/>
        <v>2.1791495961354435E-2</v>
      </c>
      <c r="AY41" s="25">
        <f t="shared" si="33"/>
        <v>39275529</v>
      </c>
      <c r="AZ41" s="25">
        <f t="shared" si="34"/>
        <v>0</v>
      </c>
      <c r="BA41" s="25">
        <f t="shared" si="34"/>
        <v>0</v>
      </c>
      <c r="BB41" s="25">
        <f t="shared" si="34"/>
        <v>0</v>
      </c>
      <c r="BC41" s="25">
        <f t="shared" si="46"/>
        <v>0</v>
      </c>
      <c r="BD41" s="25">
        <f t="shared" si="46"/>
        <v>0</v>
      </c>
      <c r="BE41" s="25">
        <f t="shared" si="46"/>
        <v>0</v>
      </c>
      <c r="BF41" s="25">
        <f t="shared" si="46"/>
        <v>0</v>
      </c>
      <c r="BG41" s="25">
        <f t="shared" si="46"/>
        <v>0</v>
      </c>
      <c r="BH41" s="25">
        <f t="shared" si="46"/>
        <v>0</v>
      </c>
      <c r="BI41" s="25">
        <f t="shared" si="46"/>
        <v>0</v>
      </c>
      <c r="BJ41" s="25">
        <f t="shared" si="46"/>
        <v>39275529</v>
      </c>
      <c r="BK41" s="25">
        <f t="shared" si="46"/>
        <v>0</v>
      </c>
      <c r="BL41" s="25">
        <f t="shared" si="46"/>
        <v>0</v>
      </c>
      <c r="BM41" s="25">
        <f t="shared" si="46"/>
        <v>0</v>
      </c>
      <c r="BN41" s="25">
        <f t="shared" si="46"/>
        <v>0</v>
      </c>
      <c r="BO41" s="25"/>
      <c r="BP41" s="25">
        <f>+X41-AU41</f>
        <v>0</v>
      </c>
      <c r="BQ41" s="25">
        <f t="shared" si="47"/>
        <v>0</v>
      </c>
      <c r="BR41" s="25">
        <f t="shared" si="48"/>
        <v>0</v>
      </c>
      <c r="BS41" s="27">
        <f t="shared" si="10"/>
        <v>0.60224524487929365</v>
      </c>
      <c r="BT41" s="25">
        <f t="shared" si="37"/>
        <v>1085446388</v>
      </c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>
        <f>+'[1]AGOSTO 2016'!$H$1457</f>
        <v>1085446388</v>
      </c>
      <c r="CG41" s="25"/>
      <c r="CH41" s="25"/>
      <c r="CI41" s="25"/>
      <c r="CJ41" s="25"/>
      <c r="CK41" s="25"/>
      <c r="CL41" s="25"/>
      <c r="CM41" s="25"/>
      <c r="CN41" s="25"/>
      <c r="CO41" s="27">
        <f t="shared" si="12"/>
        <v>0.39775475512070635</v>
      </c>
      <c r="CP41" s="25">
        <f t="shared" si="38"/>
        <v>716886461</v>
      </c>
      <c r="CQ41" s="25">
        <f t="shared" si="39"/>
        <v>0</v>
      </c>
      <c r="CR41" s="25">
        <f t="shared" si="39"/>
        <v>0</v>
      </c>
      <c r="CS41" s="25">
        <f t="shared" si="39"/>
        <v>0</v>
      </c>
      <c r="CT41" s="25">
        <f t="shared" si="39"/>
        <v>0</v>
      </c>
      <c r="CU41" s="25">
        <f t="shared" si="39"/>
        <v>0</v>
      </c>
      <c r="CV41" s="25">
        <f t="shared" si="39"/>
        <v>0</v>
      </c>
      <c r="CW41" s="25">
        <f t="shared" si="49"/>
        <v>0</v>
      </c>
      <c r="CX41" s="25">
        <f t="shared" si="49"/>
        <v>0</v>
      </c>
      <c r="CY41" s="25">
        <f t="shared" si="49"/>
        <v>0</v>
      </c>
      <c r="CZ41" s="25">
        <f t="shared" si="41"/>
        <v>0</v>
      </c>
      <c r="DA41" s="25">
        <f t="shared" si="41"/>
        <v>716886461</v>
      </c>
      <c r="DB41" s="25">
        <f t="shared" si="41"/>
        <v>0</v>
      </c>
      <c r="DC41" s="25">
        <f t="shared" si="50"/>
        <v>0</v>
      </c>
      <c r="DD41" s="25">
        <f t="shared" si="50"/>
        <v>0</v>
      </c>
      <c r="DE41" s="25">
        <f t="shared" si="50"/>
        <v>0</v>
      </c>
      <c r="DF41" s="25"/>
      <c r="DG41" s="25">
        <f t="shared" si="51"/>
        <v>0</v>
      </c>
      <c r="DH41" s="25">
        <f t="shared" si="44"/>
        <v>0</v>
      </c>
      <c r="DI41" s="25">
        <f t="shared" si="52"/>
        <v>0</v>
      </c>
    </row>
    <row r="42" spans="1:113" ht="35.25" customHeight="1" x14ac:dyDescent="0.25">
      <c r="A42" s="193"/>
      <c r="B42" s="187"/>
      <c r="C42" s="21" t="s">
        <v>142</v>
      </c>
      <c r="D42" s="22" t="s">
        <v>143</v>
      </c>
      <c r="E42" s="23">
        <v>410</v>
      </c>
      <c r="F42" s="24" t="s">
        <v>91</v>
      </c>
      <c r="G42" s="25">
        <f t="shared" si="31"/>
        <v>96094870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>
        <f>50000000+3094870+20000000+23000000</f>
        <v>96094870</v>
      </c>
      <c r="V42" s="25"/>
      <c r="W42" s="25"/>
      <c r="X42" s="25"/>
      <c r="Y42" s="56"/>
      <c r="Z42" s="56"/>
      <c r="AB42" s="27">
        <f t="shared" si="1"/>
        <v>0.81574458657366411</v>
      </c>
      <c r="AC42" s="25">
        <f t="shared" si="32"/>
        <v>78388870</v>
      </c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>
        <f>+'[7]JUNIO 2016'!$Y$1217</f>
        <v>78388870</v>
      </c>
      <c r="AS42" s="25"/>
      <c r="AT42" s="25"/>
      <c r="AU42" s="25"/>
      <c r="AV42" s="25"/>
      <c r="AW42" s="25"/>
      <c r="AX42" s="27">
        <f t="shared" si="3"/>
        <v>0.18425541342633589</v>
      </c>
      <c r="AY42" s="25">
        <f t="shared" si="33"/>
        <v>17706000</v>
      </c>
      <c r="AZ42" s="25">
        <f t="shared" si="34"/>
        <v>0</v>
      </c>
      <c r="BA42" s="25">
        <f t="shared" si="34"/>
        <v>0</v>
      </c>
      <c r="BB42" s="25">
        <f t="shared" si="34"/>
        <v>0</v>
      </c>
      <c r="BC42" s="25">
        <f t="shared" si="46"/>
        <v>0</v>
      </c>
      <c r="BD42" s="25">
        <f t="shared" si="46"/>
        <v>0</v>
      </c>
      <c r="BE42" s="25">
        <f t="shared" si="46"/>
        <v>0</v>
      </c>
      <c r="BF42" s="25">
        <f t="shared" si="46"/>
        <v>0</v>
      </c>
      <c r="BG42" s="25">
        <f>+O42-AM42</f>
        <v>0</v>
      </c>
      <c r="BH42" s="25">
        <f>+P42-AN42</f>
        <v>0</v>
      </c>
      <c r="BI42" s="25">
        <f t="shared" si="46"/>
        <v>0</v>
      </c>
      <c r="BJ42" s="25">
        <f t="shared" si="46"/>
        <v>0</v>
      </c>
      <c r="BK42" s="25">
        <f t="shared" si="46"/>
        <v>0</v>
      </c>
      <c r="BL42" s="25">
        <f t="shared" si="46"/>
        <v>0</v>
      </c>
      <c r="BM42" s="25">
        <f t="shared" si="46"/>
        <v>17706000</v>
      </c>
      <c r="BN42" s="25">
        <f t="shared" si="46"/>
        <v>0</v>
      </c>
      <c r="BO42" s="25"/>
      <c r="BP42" s="25">
        <f>+X42-AU42</f>
        <v>0</v>
      </c>
      <c r="BQ42" s="25">
        <f t="shared" si="47"/>
        <v>0</v>
      </c>
      <c r="BR42" s="25">
        <f t="shared" si="48"/>
        <v>0</v>
      </c>
      <c r="BS42" s="27">
        <f t="shared" si="10"/>
        <v>0.74003816228691499</v>
      </c>
      <c r="BT42" s="25">
        <f t="shared" si="37"/>
        <v>71113871</v>
      </c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>
        <f>+'[1]AGOSTO 2016'!$H$1918</f>
        <v>71113871</v>
      </c>
      <c r="CJ42" s="25"/>
      <c r="CK42" s="25"/>
      <c r="CL42" s="25"/>
      <c r="CM42" s="25"/>
      <c r="CN42" s="25"/>
      <c r="CO42" s="27">
        <f t="shared" si="12"/>
        <v>0.25996183771308501</v>
      </c>
      <c r="CP42" s="25">
        <f t="shared" si="38"/>
        <v>24980999</v>
      </c>
      <c r="CQ42" s="25">
        <f t="shared" si="39"/>
        <v>0</v>
      </c>
      <c r="CR42" s="25">
        <f t="shared" si="39"/>
        <v>0</v>
      </c>
      <c r="CS42" s="25">
        <f t="shared" si="39"/>
        <v>0</v>
      </c>
      <c r="CT42" s="25">
        <f t="shared" si="39"/>
        <v>0</v>
      </c>
      <c r="CU42" s="25">
        <f t="shared" si="39"/>
        <v>0</v>
      </c>
      <c r="CV42" s="25">
        <f t="shared" si="39"/>
        <v>0</v>
      </c>
      <c r="CW42" s="25">
        <f t="shared" si="49"/>
        <v>0</v>
      </c>
      <c r="CX42" s="25">
        <f t="shared" si="49"/>
        <v>0</v>
      </c>
      <c r="CY42" s="25">
        <f t="shared" si="49"/>
        <v>0</v>
      </c>
      <c r="CZ42" s="25">
        <f t="shared" si="41"/>
        <v>0</v>
      </c>
      <c r="DA42" s="25">
        <f t="shared" si="41"/>
        <v>0</v>
      </c>
      <c r="DB42" s="25">
        <f t="shared" si="41"/>
        <v>0</v>
      </c>
      <c r="DC42" s="25">
        <f t="shared" si="50"/>
        <v>0</v>
      </c>
      <c r="DD42" s="25">
        <f t="shared" si="50"/>
        <v>24980999</v>
      </c>
      <c r="DE42" s="25">
        <f t="shared" si="50"/>
        <v>0</v>
      </c>
      <c r="DF42" s="25"/>
      <c r="DG42" s="25">
        <f t="shared" si="51"/>
        <v>0</v>
      </c>
      <c r="DH42" s="25">
        <f t="shared" si="44"/>
        <v>0</v>
      </c>
      <c r="DI42" s="25">
        <f t="shared" si="52"/>
        <v>0</v>
      </c>
    </row>
    <row r="43" spans="1:113" ht="18.75" customHeight="1" x14ac:dyDescent="0.25">
      <c r="A43" s="193"/>
      <c r="B43" s="188"/>
      <c r="C43" s="21" t="s">
        <v>144</v>
      </c>
      <c r="D43" s="22" t="s">
        <v>145</v>
      </c>
      <c r="E43" s="23">
        <v>410</v>
      </c>
      <c r="F43" s="24" t="s">
        <v>91</v>
      </c>
      <c r="G43" s="25">
        <f t="shared" si="31"/>
        <v>22111130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>
        <f>20000000-3094870+5206000</f>
        <v>22111130</v>
      </c>
      <c r="V43" s="25"/>
      <c r="W43" s="25"/>
      <c r="X43" s="25"/>
      <c r="Y43" s="56"/>
      <c r="Z43" s="56"/>
      <c r="AB43" s="27">
        <f t="shared" si="1"/>
        <v>0.76455296495475356</v>
      </c>
      <c r="AC43" s="25">
        <f t="shared" si="32"/>
        <v>16905130</v>
      </c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>
        <f>+'[2]MARZO 2016 ULTIMO'!$Y$724</f>
        <v>16905130</v>
      </c>
      <c r="AS43" s="25"/>
      <c r="AT43" s="25"/>
      <c r="AU43" s="25"/>
      <c r="AV43" s="25"/>
      <c r="AW43" s="25"/>
      <c r="AX43" s="27">
        <f t="shared" si="3"/>
        <v>0.23544703504524644</v>
      </c>
      <c r="AY43" s="25">
        <f t="shared" si="33"/>
        <v>5206000</v>
      </c>
      <c r="AZ43" s="25">
        <f t="shared" si="34"/>
        <v>0</v>
      </c>
      <c r="BA43" s="25">
        <f t="shared" si="34"/>
        <v>0</v>
      </c>
      <c r="BB43" s="25">
        <f t="shared" si="34"/>
        <v>0</v>
      </c>
      <c r="BC43" s="25">
        <f t="shared" si="46"/>
        <v>0</v>
      </c>
      <c r="BD43" s="25">
        <f t="shared" si="46"/>
        <v>0</v>
      </c>
      <c r="BE43" s="25">
        <f t="shared" si="46"/>
        <v>0</v>
      </c>
      <c r="BF43" s="25">
        <f t="shared" si="46"/>
        <v>0</v>
      </c>
      <c r="BG43" s="25">
        <f>+O43-AM43</f>
        <v>0</v>
      </c>
      <c r="BH43" s="25">
        <f>+P43-AN43</f>
        <v>0</v>
      </c>
      <c r="BI43" s="25">
        <f t="shared" si="46"/>
        <v>0</v>
      </c>
      <c r="BJ43" s="25">
        <f t="shared" si="46"/>
        <v>0</v>
      </c>
      <c r="BK43" s="25">
        <f t="shared" si="46"/>
        <v>0</v>
      </c>
      <c r="BL43" s="25"/>
      <c r="BM43" s="25">
        <f t="shared" si="46"/>
        <v>5206000</v>
      </c>
      <c r="BN43" s="25">
        <f t="shared" si="46"/>
        <v>0</v>
      </c>
      <c r="BO43" s="25"/>
      <c r="BP43" s="25"/>
      <c r="BQ43" s="25">
        <f t="shared" si="47"/>
        <v>0</v>
      </c>
      <c r="BR43" s="25">
        <f t="shared" si="48"/>
        <v>0</v>
      </c>
      <c r="BS43" s="27">
        <f t="shared" si="10"/>
        <v>0.76455296495475356</v>
      </c>
      <c r="BT43" s="25">
        <f t="shared" si="37"/>
        <v>16905130</v>
      </c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>
        <f>+'[3]ABRIL 2016'!$H$929</f>
        <v>16905130</v>
      </c>
      <c r="CJ43" s="25"/>
      <c r="CK43" s="25"/>
      <c r="CL43" s="25"/>
      <c r="CM43" s="25"/>
      <c r="CN43" s="25"/>
      <c r="CO43" s="27">
        <f t="shared" si="12"/>
        <v>0.23544703504524644</v>
      </c>
      <c r="CP43" s="25">
        <f t="shared" si="38"/>
        <v>5206000</v>
      </c>
      <c r="CQ43" s="25">
        <f t="shared" si="39"/>
        <v>0</v>
      </c>
      <c r="CR43" s="25">
        <f t="shared" si="39"/>
        <v>0</v>
      </c>
      <c r="CS43" s="25">
        <f t="shared" si="39"/>
        <v>0</v>
      </c>
      <c r="CT43" s="25">
        <f t="shared" si="39"/>
        <v>0</v>
      </c>
      <c r="CU43" s="25">
        <f t="shared" si="39"/>
        <v>0</v>
      </c>
      <c r="CV43" s="25">
        <f t="shared" si="39"/>
        <v>0</v>
      </c>
      <c r="CW43" s="25">
        <f t="shared" si="49"/>
        <v>0</v>
      </c>
      <c r="CX43" s="25">
        <f t="shared" si="49"/>
        <v>0</v>
      </c>
      <c r="CY43" s="25">
        <f t="shared" si="49"/>
        <v>0</v>
      </c>
      <c r="CZ43" s="25">
        <f t="shared" si="41"/>
        <v>0</v>
      </c>
      <c r="DA43" s="25">
        <f t="shared" si="41"/>
        <v>0</v>
      </c>
      <c r="DB43" s="25">
        <f t="shared" si="41"/>
        <v>0</v>
      </c>
      <c r="DC43" s="25">
        <f t="shared" si="50"/>
        <v>0</v>
      </c>
      <c r="DD43" s="25">
        <f t="shared" si="50"/>
        <v>5206000</v>
      </c>
      <c r="DE43" s="25">
        <f t="shared" si="50"/>
        <v>0</v>
      </c>
      <c r="DF43" s="25"/>
      <c r="DG43" s="25">
        <f t="shared" si="51"/>
        <v>0</v>
      </c>
      <c r="DH43" s="25">
        <f t="shared" si="44"/>
        <v>0</v>
      </c>
      <c r="DI43" s="25">
        <f t="shared" si="52"/>
        <v>0</v>
      </c>
    </row>
    <row r="44" spans="1:113" ht="30.75" customHeight="1" x14ac:dyDescent="0.25">
      <c r="A44" s="193"/>
      <c r="B44" s="186" t="s">
        <v>146</v>
      </c>
      <c r="C44" s="21" t="s">
        <v>147</v>
      </c>
      <c r="D44" s="22" t="s">
        <v>148</v>
      </c>
      <c r="E44" s="23">
        <v>410</v>
      </c>
      <c r="F44" s="24" t="s">
        <v>91</v>
      </c>
      <c r="G44" s="25">
        <f t="shared" si="31"/>
        <v>20000000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>
        <v>20000000</v>
      </c>
      <c r="V44" s="25"/>
      <c r="W44" s="25"/>
      <c r="X44" s="25"/>
      <c r="Y44" s="56"/>
      <c r="Z44" s="56"/>
      <c r="AB44" s="27">
        <f t="shared" si="1"/>
        <v>1</v>
      </c>
      <c r="AC44" s="25">
        <f t="shared" si="32"/>
        <v>20000000</v>
      </c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>
        <f>+'[4]ENERO 2016'!$Y$406</f>
        <v>20000000</v>
      </c>
      <c r="AS44" s="25"/>
      <c r="AT44" s="25"/>
      <c r="AU44" s="25"/>
      <c r="AV44" s="25"/>
      <c r="AW44" s="25"/>
      <c r="AX44" s="27">
        <f t="shared" si="3"/>
        <v>0</v>
      </c>
      <c r="AY44" s="25">
        <f t="shared" si="33"/>
        <v>0</v>
      </c>
      <c r="AZ44" s="25">
        <f t="shared" si="34"/>
        <v>0</v>
      </c>
      <c r="BA44" s="25">
        <f t="shared" si="34"/>
        <v>0</v>
      </c>
      <c r="BB44" s="25">
        <f t="shared" si="34"/>
        <v>0</v>
      </c>
      <c r="BC44" s="25">
        <f t="shared" si="46"/>
        <v>0</v>
      </c>
      <c r="BD44" s="25">
        <f t="shared" si="46"/>
        <v>0</v>
      </c>
      <c r="BE44" s="25">
        <f t="shared" si="46"/>
        <v>0</v>
      </c>
      <c r="BF44" s="25">
        <f t="shared" si="46"/>
        <v>0</v>
      </c>
      <c r="BG44" s="25">
        <f t="shared" si="46"/>
        <v>0</v>
      </c>
      <c r="BH44" s="25">
        <f t="shared" ref="BH44:BH57" si="53">+P44-AN44</f>
        <v>0</v>
      </c>
      <c r="BI44" s="25">
        <f t="shared" si="46"/>
        <v>0</v>
      </c>
      <c r="BJ44" s="25">
        <f t="shared" si="46"/>
        <v>0</v>
      </c>
      <c r="BK44" s="25">
        <f t="shared" si="46"/>
        <v>0</v>
      </c>
      <c r="BL44" s="25">
        <f>+T44-AQ44</f>
        <v>0</v>
      </c>
      <c r="BM44" s="25">
        <f t="shared" si="46"/>
        <v>0</v>
      </c>
      <c r="BN44" s="25">
        <f t="shared" si="46"/>
        <v>0</v>
      </c>
      <c r="BO44" s="25"/>
      <c r="BP44" s="25">
        <f>+X44-AU44</f>
        <v>0</v>
      </c>
      <c r="BQ44" s="25">
        <f t="shared" si="47"/>
        <v>0</v>
      </c>
      <c r="BR44" s="25">
        <f t="shared" si="48"/>
        <v>0</v>
      </c>
      <c r="BS44" s="27">
        <f t="shared" si="10"/>
        <v>1</v>
      </c>
      <c r="BT44" s="25">
        <f t="shared" si="37"/>
        <v>20000000</v>
      </c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>
        <f>+'[6]JULIO 2016'!$H$1402</f>
        <v>20000000</v>
      </c>
      <c r="CJ44" s="25"/>
      <c r="CK44" s="25"/>
      <c r="CL44" s="25"/>
      <c r="CM44" s="25"/>
      <c r="CN44" s="25"/>
      <c r="CO44" s="27">
        <f t="shared" si="12"/>
        <v>0</v>
      </c>
      <c r="CP44" s="25">
        <f t="shared" si="38"/>
        <v>0</v>
      </c>
      <c r="CQ44" s="25">
        <f t="shared" si="39"/>
        <v>0</v>
      </c>
      <c r="CR44" s="25">
        <f t="shared" si="39"/>
        <v>0</v>
      </c>
      <c r="CS44" s="25">
        <f t="shared" si="39"/>
        <v>0</v>
      </c>
      <c r="CT44" s="25">
        <f t="shared" si="39"/>
        <v>0</v>
      </c>
      <c r="CU44" s="25">
        <f t="shared" si="39"/>
        <v>0</v>
      </c>
      <c r="CV44" s="25">
        <f t="shared" si="39"/>
        <v>0</v>
      </c>
      <c r="CW44" s="25">
        <f t="shared" si="49"/>
        <v>0</v>
      </c>
      <c r="CX44" s="25">
        <f t="shared" si="49"/>
        <v>0</v>
      </c>
      <c r="CY44" s="25">
        <f t="shared" si="49"/>
        <v>0</v>
      </c>
      <c r="CZ44" s="25">
        <f t="shared" si="41"/>
        <v>0</v>
      </c>
      <c r="DA44" s="25">
        <f t="shared" si="41"/>
        <v>0</v>
      </c>
      <c r="DB44" s="25">
        <f t="shared" si="41"/>
        <v>0</v>
      </c>
      <c r="DC44" s="25">
        <f t="shared" si="50"/>
        <v>0</v>
      </c>
      <c r="DD44" s="25">
        <f t="shared" si="50"/>
        <v>0</v>
      </c>
      <c r="DE44" s="25">
        <f t="shared" si="50"/>
        <v>0</v>
      </c>
      <c r="DF44" s="25"/>
      <c r="DG44" s="25">
        <f t="shared" si="51"/>
        <v>0</v>
      </c>
      <c r="DH44" s="25">
        <f t="shared" si="44"/>
        <v>0</v>
      </c>
      <c r="DI44" s="25">
        <f t="shared" si="52"/>
        <v>0</v>
      </c>
    </row>
    <row r="45" spans="1:113" ht="33.75" customHeight="1" x14ac:dyDescent="0.25">
      <c r="A45" s="193"/>
      <c r="B45" s="187"/>
      <c r="C45" s="21" t="s">
        <v>149</v>
      </c>
      <c r="D45" s="22" t="s">
        <v>150</v>
      </c>
      <c r="E45" s="23">
        <v>410</v>
      </c>
      <c r="F45" s="24" t="s">
        <v>91</v>
      </c>
      <c r="G45" s="25">
        <f t="shared" si="31"/>
        <v>10000000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>
        <v>10000000</v>
      </c>
      <c r="V45" s="25"/>
      <c r="W45" s="25"/>
      <c r="X45" s="25"/>
      <c r="Y45" s="56"/>
      <c r="Z45" s="56"/>
      <c r="AB45" s="27">
        <f t="shared" si="1"/>
        <v>0.92333399999999999</v>
      </c>
      <c r="AC45" s="25">
        <f t="shared" si="32"/>
        <v>9233340</v>
      </c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>
        <f>+'[8]MAYO 2016'!$G$1115</f>
        <v>9233340</v>
      </c>
      <c r="AS45" s="25"/>
      <c r="AT45" s="25"/>
      <c r="AU45" s="25"/>
      <c r="AV45" s="25"/>
      <c r="AW45" s="25"/>
      <c r="AX45" s="27">
        <f t="shared" si="3"/>
        <v>7.6666000000000012E-2</v>
      </c>
      <c r="AY45" s="25">
        <f t="shared" si="33"/>
        <v>766660</v>
      </c>
      <c r="AZ45" s="25">
        <f t="shared" si="34"/>
        <v>0</v>
      </c>
      <c r="BA45" s="25">
        <f t="shared" si="34"/>
        <v>0</v>
      </c>
      <c r="BB45" s="25">
        <f t="shared" si="34"/>
        <v>0</v>
      </c>
      <c r="BC45" s="25">
        <f t="shared" si="46"/>
        <v>0</v>
      </c>
      <c r="BD45" s="25">
        <f t="shared" si="46"/>
        <v>0</v>
      </c>
      <c r="BE45" s="25">
        <f t="shared" si="46"/>
        <v>0</v>
      </c>
      <c r="BF45" s="25">
        <f t="shared" si="46"/>
        <v>0</v>
      </c>
      <c r="BG45" s="25">
        <f t="shared" si="46"/>
        <v>0</v>
      </c>
      <c r="BH45" s="25">
        <f t="shared" si="53"/>
        <v>0</v>
      </c>
      <c r="BI45" s="25">
        <f t="shared" si="46"/>
        <v>0</v>
      </c>
      <c r="BJ45" s="25">
        <f t="shared" si="46"/>
        <v>0</v>
      </c>
      <c r="BK45" s="25">
        <f t="shared" si="46"/>
        <v>0</v>
      </c>
      <c r="BL45" s="25">
        <f>+T45-AQ45</f>
        <v>0</v>
      </c>
      <c r="BM45" s="25">
        <f t="shared" si="46"/>
        <v>766660</v>
      </c>
      <c r="BN45" s="25">
        <f t="shared" si="46"/>
        <v>0</v>
      </c>
      <c r="BO45" s="25"/>
      <c r="BP45" s="25"/>
      <c r="BQ45" s="25">
        <f t="shared" si="47"/>
        <v>0</v>
      </c>
      <c r="BR45" s="25">
        <f t="shared" si="48"/>
        <v>0</v>
      </c>
      <c r="BS45" s="27">
        <f t="shared" si="10"/>
        <v>0.92333399999999999</v>
      </c>
      <c r="BT45" s="25">
        <f t="shared" si="37"/>
        <v>9233340</v>
      </c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>
        <f>+'[8]MAYO 2016'!$H$1115</f>
        <v>9233340</v>
      </c>
      <c r="CJ45" s="25"/>
      <c r="CK45" s="25"/>
      <c r="CL45" s="25"/>
      <c r="CM45" s="25"/>
      <c r="CN45" s="25"/>
      <c r="CO45" s="27">
        <f t="shared" si="12"/>
        <v>7.6666000000000012E-2</v>
      </c>
      <c r="CP45" s="25">
        <f t="shared" si="38"/>
        <v>766660</v>
      </c>
      <c r="CQ45" s="25">
        <f t="shared" si="39"/>
        <v>0</v>
      </c>
      <c r="CR45" s="25">
        <f t="shared" si="39"/>
        <v>0</v>
      </c>
      <c r="CS45" s="25">
        <f t="shared" si="39"/>
        <v>0</v>
      </c>
      <c r="CT45" s="25">
        <f t="shared" si="39"/>
        <v>0</v>
      </c>
      <c r="CU45" s="25">
        <f t="shared" si="39"/>
        <v>0</v>
      </c>
      <c r="CV45" s="25">
        <f t="shared" si="39"/>
        <v>0</v>
      </c>
      <c r="CW45" s="25">
        <f t="shared" si="49"/>
        <v>0</v>
      </c>
      <c r="CX45" s="25">
        <f t="shared" si="49"/>
        <v>0</v>
      </c>
      <c r="CY45" s="25">
        <f t="shared" si="49"/>
        <v>0</v>
      </c>
      <c r="CZ45" s="25">
        <f t="shared" si="41"/>
        <v>0</v>
      </c>
      <c r="DA45" s="25">
        <f t="shared" si="41"/>
        <v>0</v>
      </c>
      <c r="DB45" s="25">
        <f t="shared" si="41"/>
        <v>0</v>
      </c>
      <c r="DC45" s="25">
        <f t="shared" si="50"/>
        <v>0</v>
      </c>
      <c r="DD45" s="25">
        <f t="shared" si="50"/>
        <v>766660</v>
      </c>
      <c r="DE45" s="25">
        <f t="shared" si="50"/>
        <v>0</v>
      </c>
      <c r="DF45" s="25"/>
      <c r="DG45" s="25">
        <f t="shared" si="51"/>
        <v>0</v>
      </c>
      <c r="DH45" s="25">
        <f t="shared" si="44"/>
        <v>0</v>
      </c>
      <c r="DI45" s="25">
        <f t="shared" si="52"/>
        <v>0</v>
      </c>
    </row>
    <row r="46" spans="1:113" ht="21.75" customHeight="1" x14ac:dyDescent="0.25">
      <c r="A46" s="193"/>
      <c r="B46" s="187"/>
      <c r="C46" s="21" t="s">
        <v>151</v>
      </c>
      <c r="D46" s="22" t="s">
        <v>152</v>
      </c>
      <c r="E46" s="23">
        <v>410</v>
      </c>
      <c r="F46" s="24" t="s">
        <v>91</v>
      </c>
      <c r="G46" s="25">
        <f t="shared" si="31"/>
        <v>20000000</v>
      </c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>
        <v>20000000</v>
      </c>
      <c r="V46" s="25"/>
      <c r="W46" s="25"/>
      <c r="X46" s="25"/>
      <c r="Y46" s="56"/>
      <c r="Z46" s="56"/>
      <c r="AB46" s="27">
        <f t="shared" si="1"/>
        <v>0.99988060000000001</v>
      </c>
      <c r="AC46" s="25">
        <f t="shared" si="32"/>
        <v>19997612</v>
      </c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>
        <f>+'[1]AGOSTO 2016'!$Y$1965</f>
        <v>19997612</v>
      </c>
      <c r="AS46" s="25"/>
      <c r="AT46" s="25"/>
      <c r="AU46" s="25"/>
      <c r="AV46" s="25"/>
      <c r="AW46" s="25"/>
      <c r="AX46" s="27">
        <f t="shared" si="3"/>
        <v>1.1939999999999173E-4</v>
      </c>
      <c r="AY46" s="25">
        <f t="shared" si="33"/>
        <v>2388</v>
      </c>
      <c r="AZ46" s="25">
        <f t="shared" si="34"/>
        <v>0</v>
      </c>
      <c r="BA46" s="25">
        <f t="shared" si="34"/>
        <v>0</v>
      </c>
      <c r="BB46" s="25">
        <f t="shared" si="34"/>
        <v>0</v>
      </c>
      <c r="BC46" s="25">
        <f t="shared" si="46"/>
        <v>0</v>
      </c>
      <c r="BD46" s="25">
        <f t="shared" si="46"/>
        <v>0</v>
      </c>
      <c r="BE46" s="25">
        <f t="shared" si="46"/>
        <v>0</v>
      </c>
      <c r="BF46" s="25">
        <f t="shared" si="46"/>
        <v>0</v>
      </c>
      <c r="BG46" s="25">
        <f t="shared" si="46"/>
        <v>0</v>
      </c>
      <c r="BH46" s="25">
        <f t="shared" si="53"/>
        <v>0</v>
      </c>
      <c r="BI46" s="25">
        <f t="shared" si="46"/>
        <v>0</v>
      </c>
      <c r="BJ46" s="25">
        <f t="shared" si="46"/>
        <v>0</v>
      </c>
      <c r="BK46" s="25">
        <f t="shared" si="46"/>
        <v>0</v>
      </c>
      <c r="BL46" s="25"/>
      <c r="BM46" s="25">
        <f t="shared" si="46"/>
        <v>2388</v>
      </c>
      <c r="BN46" s="25">
        <f t="shared" si="46"/>
        <v>0</v>
      </c>
      <c r="BO46" s="25"/>
      <c r="BP46" s="25"/>
      <c r="BQ46" s="25">
        <f t="shared" si="47"/>
        <v>0</v>
      </c>
      <c r="BR46" s="25">
        <f t="shared" si="48"/>
        <v>0</v>
      </c>
      <c r="BS46" s="27">
        <f t="shared" si="10"/>
        <v>0</v>
      </c>
      <c r="BT46" s="25">
        <f t="shared" si="37"/>
        <v>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7">
        <f t="shared" si="12"/>
        <v>1</v>
      </c>
      <c r="CP46" s="25">
        <f t="shared" si="38"/>
        <v>20000000</v>
      </c>
      <c r="CQ46" s="25">
        <f t="shared" si="39"/>
        <v>0</v>
      </c>
      <c r="CR46" s="25">
        <f t="shared" si="39"/>
        <v>0</v>
      </c>
      <c r="CS46" s="25">
        <f t="shared" si="39"/>
        <v>0</v>
      </c>
      <c r="CT46" s="25">
        <f t="shared" si="39"/>
        <v>0</v>
      </c>
      <c r="CU46" s="25">
        <f t="shared" si="39"/>
        <v>0</v>
      </c>
      <c r="CV46" s="25">
        <f t="shared" si="39"/>
        <v>0</v>
      </c>
      <c r="CW46" s="25">
        <f t="shared" si="49"/>
        <v>0</v>
      </c>
      <c r="CX46" s="25">
        <f t="shared" si="49"/>
        <v>0</v>
      </c>
      <c r="CY46" s="25">
        <f t="shared" si="49"/>
        <v>0</v>
      </c>
      <c r="CZ46" s="25">
        <f t="shared" si="49"/>
        <v>0</v>
      </c>
      <c r="DA46" s="25">
        <f t="shared" si="49"/>
        <v>0</v>
      </c>
      <c r="DB46" s="25">
        <f t="shared" si="49"/>
        <v>0</v>
      </c>
      <c r="DC46" s="25">
        <f t="shared" si="50"/>
        <v>0</v>
      </c>
      <c r="DD46" s="25">
        <f t="shared" si="50"/>
        <v>20000000</v>
      </c>
      <c r="DE46" s="25">
        <f t="shared" si="50"/>
        <v>0</v>
      </c>
      <c r="DF46" s="25"/>
      <c r="DG46" s="25">
        <f t="shared" si="51"/>
        <v>0</v>
      </c>
      <c r="DH46" s="25">
        <f t="shared" ref="DH46:DH57" si="54">Y46-CM46</f>
        <v>0</v>
      </c>
      <c r="DI46" s="25">
        <f t="shared" si="52"/>
        <v>0</v>
      </c>
    </row>
    <row r="47" spans="1:113" ht="36" customHeight="1" x14ac:dyDescent="0.25">
      <c r="A47" s="193"/>
      <c r="B47" s="188"/>
      <c r="C47" s="21" t="s">
        <v>153</v>
      </c>
      <c r="D47" s="22" t="s">
        <v>154</v>
      </c>
      <c r="E47" s="23">
        <v>410</v>
      </c>
      <c r="F47" s="24" t="s">
        <v>91</v>
      </c>
      <c r="G47" s="25">
        <f t="shared" si="31"/>
        <v>13200000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>
        <v>10000000</v>
      </c>
      <c r="V47" s="25"/>
      <c r="W47" s="25"/>
      <c r="X47" s="25"/>
      <c r="Y47" s="56"/>
      <c r="Z47" s="56">
        <f>3200000</f>
        <v>3200000</v>
      </c>
      <c r="AB47" s="27">
        <f t="shared" si="1"/>
        <v>0.24087121212121212</v>
      </c>
      <c r="AC47" s="25">
        <f t="shared" si="32"/>
        <v>3179500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>
        <f>+'[3]ABRIL 2016'!$Y$961</f>
        <v>3179500</v>
      </c>
      <c r="AS47" s="25"/>
      <c r="AT47" s="25"/>
      <c r="AU47" s="25"/>
      <c r="AV47" s="25"/>
      <c r="AW47" s="25"/>
      <c r="AX47" s="27">
        <f t="shared" si="3"/>
        <v>0.7591287878787879</v>
      </c>
      <c r="AY47" s="25">
        <f t="shared" si="33"/>
        <v>10020500</v>
      </c>
      <c r="AZ47" s="25">
        <f t="shared" si="34"/>
        <v>0</v>
      </c>
      <c r="BA47" s="25">
        <f t="shared" si="34"/>
        <v>0</v>
      </c>
      <c r="BB47" s="25">
        <f t="shared" si="34"/>
        <v>0</v>
      </c>
      <c r="BC47" s="25">
        <f t="shared" si="46"/>
        <v>0</v>
      </c>
      <c r="BD47" s="25">
        <f t="shared" si="46"/>
        <v>0</v>
      </c>
      <c r="BE47" s="25">
        <f t="shared" si="46"/>
        <v>0</v>
      </c>
      <c r="BF47" s="25">
        <f t="shared" si="46"/>
        <v>0</v>
      </c>
      <c r="BG47" s="25">
        <f t="shared" si="46"/>
        <v>0</v>
      </c>
      <c r="BH47" s="25">
        <f t="shared" si="53"/>
        <v>0</v>
      </c>
      <c r="BI47" s="25">
        <f t="shared" si="46"/>
        <v>0</v>
      </c>
      <c r="BJ47" s="25">
        <f t="shared" si="46"/>
        <v>0</v>
      </c>
      <c r="BK47" s="25">
        <f t="shared" si="46"/>
        <v>0</v>
      </c>
      <c r="BL47" s="25"/>
      <c r="BM47" s="25">
        <f t="shared" si="46"/>
        <v>6820500</v>
      </c>
      <c r="BN47" s="25">
        <f t="shared" si="46"/>
        <v>0</v>
      </c>
      <c r="BO47" s="25"/>
      <c r="BP47" s="25"/>
      <c r="BQ47" s="25">
        <f t="shared" si="47"/>
        <v>0</v>
      </c>
      <c r="BR47" s="25">
        <f t="shared" si="48"/>
        <v>3200000</v>
      </c>
      <c r="BS47" s="27">
        <f t="shared" si="10"/>
        <v>0.24087121212121212</v>
      </c>
      <c r="BT47" s="25">
        <f t="shared" si="37"/>
        <v>3179500</v>
      </c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>
        <f>+'[3]ABRIL 2016'!$H$959</f>
        <v>3179500</v>
      </c>
      <c r="CJ47" s="25"/>
      <c r="CK47" s="25"/>
      <c r="CL47" s="25"/>
      <c r="CM47" s="25"/>
      <c r="CN47" s="25"/>
      <c r="CO47" s="27">
        <f t="shared" si="12"/>
        <v>0.7591287878787879</v>
      </c>
      <c r="CP47" s="25">
        <f t="shared" si="38"/>
        <v>10020500</v>
      </c>
      <c r="CQ47" s="25">
        <f t="shared" si="39"/>
        <v>0</v>
      </c>
      <c r="CR47" s="25">
        <f t="shared" si="39"/>
        <v>0</v>
      </c>
      <c r="CS47" s="25">
        <f t="shared" si="39"/>
        <v>0</v>
      </c>
      <c r="CT47" s="25">
        <f t="shared" si="39"/>
        <v>0</v>
      </c>
      <c r="CU47" s="25">
        <f t="shared" si="39"/>
        <v>0</v>
      </c>
      <c r="CV47" s="25">
        <f t="shared" si="39"/>
        <v>0</v>
      </c>
      <c r="CW47" s="25">
        <f t="shared" si="49"/>
        <v>0</v>
      </c>
      <c r="CX47" s="25">
        <f t="shared" si="49"/>
        <v>0</v>
      </c>
      <c r="CY47" s="25">
        <f t="shared" si="49"/>
        <v>0</v>
      </c>
      <c r="CZ47" s="25">
        <f t="shared" si="49"/>
        <v>0</v>
      </c>
      <c r="DA47" s="25">
        <f t="shared" si="49"/>
        <v>0</v>
      </c>
      <c r="DB47" s="25">
        <f t="shared" si="49"/>
        <v>0</v>
      </c>
      <c r="DC47" s="25">
        <f t="shared" si="50"/>
        <v>0</v>
      </c>
      <c r="DD47" s="25">
        <f t="shared" si="50"/>
        <v>6820500</v>
      </c>
      <c r="DE47" s="25">
        <f t="shared" si="50"/>
        <v>0</v>
      </c>
      <c r="DF47" s="25"/>
      <c r="DG47" s="25">
        <f t="shared" si="51"/>
        <v>0</v>
      </c>
      <c r="DH47" s="25">
        <f t="shared" si="54"/>
        <v>0</v>
      </c>
      <c r="DI47" s="25">
        <f t="shared" si="52"/>
        <v>3200000</v>
      </c>
    </row>
    <row r="48" spans="1:113" ht="24" customHeight="1" x14ac:dyDescent="0.25">
      <c r="A48" s="193" t="s">
        <v>87</v>
      </c>
      <c r="B48" s="186" t="s">
        <v>155</v>
      </c>
      <c r="C48" s="21" t="s">
        <v>156</v>
      </c>
      <c r="D48" s="22" t="s">
        <v>157</v>
      </c>
      <c r="E48" s="23">
        <v>410</v>
      </c>
      <c r="F48" s="24" t="s">
        <v>91</v>
      </c>
      <c r="G48" s="25">
        <f t="shared" si="31"/>
        <v>374741836</v>
      </c>
      <c r="H48" s="25"/>
      <c r="I48" s="25">
        <v>270000000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6">
        <v>104741836</v>
      </c>
      <c r="Z48" s="56"/>
      <c r="AB48" s="27">
        <f t="shared" si="1"/>
        <v>1</v>
      </c>
      <c r="AC48" s="25">
        <f t="shared" si="32"/>
        <v>374741836</v>
      </c>
      <c r="AD48" s="25"/>
      <c r="AE48" s="25"/>
      <c r="AF48" s="25">
        <f>+'[4]ENERO 2016'!$M$432</f>
        <v>270000000</v>
      </c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>
        <f>+'[1]AGOSTO 2016'!$AF$1980</f>
        <v>104741836</v>
      </c>
      <c r="AW48" s="25"/>
      <c r="AX48" s="27">
        <f t="shared" si="3"/>
        <v>0</v>
      </c>
      <c r="AY48" s="25">
        <f t="shared" si="33"/>
        <v>0</v>
      </c>
      <c r="AZ48" s="25">
        <f t="shared" si="34"/>
        <v>0</v>
      </c>
      <c r="BA48" s="25">
        <f t="shared" si="34"/>
        <v>0</v>
      </c>
      <c r="BB48" s="25">
        <f t="shared" si="34"/>
        <v>0</v>
      </c>
      <c r="BC48" s="25">
        <f t="shared" si="46"/>
        <v>0</v>
      </c>
      <c r="BD48" s="25">
        <f t="shared" si="46"/>
        <v>0</v>
      </c>
      <c r="BE48" s="25">
        <f t="shared" si="46"/>
        <v>0</v>
      </c>
      <c r="BF48" s="25">
        <f t="shared" si="46"/>
        <v>0</v>
      </c>
      <c r="BG48" s="25">
        <f t="shared" si="46"/>
        <v>0</v>
      </c>
      <c r="BH48" s="25">
        <f t="shared" si="53"/>
        <v>0</v>
      </c>
      <c r="BI48" s="25">
        <f t="shared" si="46"/>
        <v>0</v>
      </c>
      <c r="BJ48" s="25">
        <f t="shared" si="46"/>
        <v>0</v>
      </c>
      <c r="BK48" s="25">
        <f t="shared" si="46"/>
        <v>0</v>
      </c>
      <c r="BL48" s="25">
        <f>+T48-AQ48</f>
        <v>0</v>
      </c>
      <c r="BM48" s="25">
        <f t="shared" si="46"/>
        <v>0</v>
      </c>
      <c r="BN48" s="25">
        <f t="shared" si="46"/>
        <v>0</v>
      </c>
      <c r="BO48" s="25"/>
      <c r="BP48" s="25"/>
      <c r="BQ48" s="25">
        <f t="shared" si="47"/>
        <v>0</v>
      </c>
      <c r="BR48" s="25">
        <f t="shared" si="48"/>
        <v>0</v>
      </c>
      <c r="BS48" s="27">
        <f t="shared" si="10"/>
        <v>0.75724210840446438</v>
      </c>
      <c r="BT48" s="25">
        <f t="shared" si="37"/>
        <v>283770298</v>
      </c>
      <c r="BU48" s="25"/>
      <c r="BV48" s="25"/>
      <c r="BW48" s="25">
        <f>+'[4]ENERO 2016'!$H$430</f>
        <v>270000000</v>
      </c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>
        <f>+'[3]ABRIL 2016'!$H$975+'[8]MAYO 2016'!$AF$1142</f>
        <v>13770298</v>
      </c>
      <c r="CN48" s="25"/>
      <c r="CO48" s="27">
        <f t="shared" si="12"/>
        <v>0.24275789159553562</v>
      </c>
      <c r="CP48" s="25">
        <f t="shared" si="38"/>
        <v>90971538</v>
      </c>
      <c r="CQ48" s="25">
        <f t="shared" si="39"/>
        <v>0</v>
      </c>
      <c r="CR48" s="25">
        <f t="shared" si="39"/>
        <v>0</v>
      </c>
      <c r="CS48" s="25">
        <f t="shared" si="39"/>
        <v>0</v>
      </c>
      <c r="CT48" s="25">
        <f t="shared" si="39"/>
        <v>0</v>
      </c>
      <c r="CU48" s="25">
        <f t="shared" si="39"/>
        <v>0</v>
      </c>
      <c r="CV48" s="25">
        <f t="shared" si="39"/>
        <v>0</v>
      </c>
      <c r="CW48" s="25">
        <f t="shared" si="49"/>
        <v>0</v>
      </c>
      <c r="CX48" s="25">
        <f t="shared" si="49"/>
        <v>0</v>
      </c>
      <c r="CY48" s="25">
        <f t="shared" si="49"/>
        <v>0</v>
      </c>
      <c r="CZ48" s="25">
        <f t="shared" ref="CZ48:DB57" si="55">Q48-CE48</f>
        <v>0</v>
      </c>
      <c r="DA48" s="25">
        <f t="shared" si="55"/>
        <v>0</v>
      </c>
      <c r="DB48" s="25">
        <f t="shared" si="55"/>
        <v>0</v>
      </c>
      <c r="DC48" s="25">
        <f t="shared" si="50"/>
        <v>0</v>
      </c>
      <c r="DD48" s="25">
        <f t="shared" si="50"/>
        <v>0</v>
      </c>
      <c r="DE48" s="25">
        <f t="shared" si="50"/>
        <v>0</v>
      </c>
      <c r="DF48" s="25"/>
      <c r="DG48" s="25">
        <f t="shared" si="51"/>
        <v>0</v>
      </c>
      <c r="DH48" s="25">
        <f t="shared" si="54"/>
        <v>90971538</v>
      </c>
      <c r="DI48" s="25">
        <f t="shared" si="52"/>
        <v>0</v>
      </c>
    </row>
    <row r="49" spans="1:114" s="59" customFormat="1" ht="23.25" customHeight="1" x14ac:dyDescent="0.25">
      <c r="A49" s="193"/>
      <c r="B49" s="188"/>
      <c r="C49" s="57" t="s">
        <v>158</v>
      </c>
      <c r="D49" s="22" t="s">
        <v>159</v>
      </c>
      <c r="E49" s="23">
        <v>410</v>
      </c>
      <c r="F49" s="24" t="s">
        <v>91</v>
      </c>
      <c r="G49" s="25">
        <f t="shared" si="31"/>
        <v>30000000</v>
      </c>
      <c r="H49" s="58"/>
      <c r="I49" s="56">
        <v>30000000</v>
      </c>
      <c r="J49" s="56"/>
      <c r="K49" s="58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B49" s="60">
        <f t="shared" si="1"/>
        <v>1</v>
      </c>
      <c r="AC49" s="25">
        <f t="shared" si="32"/>
        <v>30000000</v>
      </c>
      <c r="AD49" s="56"/>
      <c r="AE49" s="56"/>
      <c r="AF49" s="56">
        <f>+'[6]JULIO 2016'!$M$1444</f>
        <v>30000000</v>
      </c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60">
        <f t="shared" si="3"/>
        <v>0</v>
      </c>
      <c r="AY49" s="25">
        <f t="shared" si="33"/>
        <v>0</v>
      </c>
      <c r="AZ49" s="25">
        <f t="shared" si="34"/>
        <v>0</v>
      </c>
      <c r="BA49" s="25">
        <f t="shared" si="34"/>
        <v>0</v>
      </c>
      <c r="BB49" s="25">
        <f t="shared" si="34"/>
        <v>0</v>
      </c>
      <c r="BC49" s="25">
        <f t="shared" si="46"/>
        <v>0</v>
      </c>
      <c r="BD49" s="25">
        <f t="shared" si="46"/>
        <v>0</v>
      </c>
      <c r="BE49" s="25">
        <f t="shared" si="46"/>
        <v>0</v>
      </c>
      <c r="BF49" s="25">
        <f t="shared" si="46"/>
        <v>0</v>
      </c>
      <c r="BG49" s="25">
        <f t="shared" si="46"/>
        <v>0</v>
      </c>
      <c r="BH49" s="25">
        <f t="shared" si="53"/>
        <v>0</v>
      </c>
      <c r="BI49" s="25">
        <f t="shared" si="46"/>
        <v>0</v>
      </c>
      <c r="BJ49" s="25">
        <f t="shared" si="46"/>
        <v>0</v>
      </c>
      <c r="BK49" s="25">
        <f t="shared" si="46"/>
        <v>0</v>
      </c>
      <c r="BL49" s="56"/>
      <c r="BM49" s="25">
        <f t="shared" si="46"/>
        <v>0</v>
      </c>
      <c r="BN49" s="25">
        <f t="shared" si="46"/>
        <v>0</v>
      </c>
      <c r="BO49" s="25"/>
      <c r="BP49" s="56"/>
      <c r="BQ49" s="25">
        <f t="shared" si="47"/>
        <v>0</v>
      </c>
      <c r="BR49" s="56">
        <f t="shared" si="48"/>
        <v>0</v>
      </c>
      <c r="BS49" s="60">
        <f t="shared" si="10"/>
        <v>1</v>
      </c>
      <c r="BT49" s="25">
        <f t="shared" si="37"/>
        <v>30000000</v>
      </c>
      <c r="BU49" s="56"/>
      <c r="BV49" s="56"/>
      <c r="BW49" s="56">
        <f>+'[1]AGOSTO 2016'!$H$1989</f>
        <v>30000000</v>
      </c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60">
        <f t="shared" si="12"/>
        <v>0</v>
      </c>
      <c r="CP49" s="25">
        <f t="shared" si="38"/>
        <v>0</v>
      </c>
      <c r="CQ49" s="25">
        <f t="shared" si="39"/>
        <v>0</v>
      </c>
      <c r="CR49" s="25">
        <f t="shared" si="39"/>
        <v>0</v>
      </c>
      <c r="CS49" s="25">
        <f t="shared" si="39"/>
        <v>0</v>
      </c>
      <c r="CT49" s="25">
        <f t="shared" si="39"/>
        <v>0</v>
      </c>
      <c r="CU49" s="25">
        <f t="shared" si="39"/>
        <v>0</v>
      </c>
      <c r="CV49" s="25">
        <f t="shared" si="39"/>
        <v>0</v>
      </c>
      <c r="CW49" s="25">
        <f>N49-CB49</f>
        <v>0</v>
      </c>
      <c r="CX49" s="25">
        <f>O49-CC49</f>
        <v>0</v>
      </c>
      <c r="CY49" s="25">
        <f>P49-CD49</f>
        <v>0</v>
      </c>
      <c r="CZ49" s="25">
        <f t="shared" si="55"/>
        <v>0</v>
      </c>
      <c r="DA49" s="25">
        <f t="shared" si="55"/>
        <v>0</v>
      </c>
      <c r="DB49" s="25">
        <f t="shared" si="55"/>
        <v>0</v>
      </c>
      <c r="DC49" s="25">
        <f>T49-CH49</f>
        <v>0</v>
      </c>
      <c r="DD49" s="25">
        <f>U49-CI49</f>
        <v>0</v>
      </c>
      <c r="DE49" s="25">
        <f>V49-CJ49</f>
        <v>0</v>
      </c>
      <c r="DF49" s="25"/>
      <c r="DG49" s="25">
        <f>X49-CL49</f>
        <v>0</v>
      </c>
      <c r="DH49" s="25">
        <f t="shared" si="54"/>
        <v>0</v>
      </c>
      <c r="DI49" s="25">
        <f>Z49-CN49</f>
        <v>0</v>
      </c>
    </row>
    <row r="50" spans="1:114" ht="33.75" customHeight="1" x14ac:dyDescent="0.25">
      <c r="A50" s="193"/>
      <c r="B50" s="186" t="s">
        <v>160</v>
      </c>
      <c r="C50" s="21" t="s">
        <v>161</v>
      </c>
      <c r="D50" s="22" t="s">
        <v>162</v>
      </c>
      <c r="E50" s="23">
        <v>410</v>
      </c>
      <c r="F50" s="24" t="s">
        <v>91</v>
      </c>
      <c r="G50" s="25">
        <f t="shared" si="31"/>
        <v>90000000</v>
      </c>
      <c r="H50" s="49"/>
      <c r="I50" s="25">
        <f>21264791</f>
        <v>21264791</v>
      </c>
      <c r="J50" s="25"/>
      <c r="K50" s="49"/>
      <c r="L50" s="36"/>
      <c r="M50" s="36"/>
      <c r="N50" s="36"/>
      <c r="O50" s="25"/>
      <c r="P50" s="25"/>
      <c r="Q50" s="25"/>
      <c r="R50" s="25"/>
      <c r="S50" s="25"/>
      <c r="T50" s="25"/>
      <c r="U50" s="25">
        <f>90000000-21264791</f>
        <v>68735209</v>
      </c>
      <c r="V50" s="25"/>
      <c r="W50" s="25"/>
      <c r="X50" s="25"/>
      <c r="Y50" s="25"/>
      <c r="Z50" s="25"/>
      <c r="AB50" s="27">
        <f t="shared" si="1"/>
        <v>0.91622828888888885</v>
      </c>
      <c r="AC50" s="25">
        <f t="shared" si="32"/>
        <v>82460546</v>
      </c>
      <c r="AD50" s="25"/>
      <c r="AE50" s="25"/>
      <c r="AF50" s="25">
        <f>+'[1]AGOSTO 2016'!$M$2000</f>
        <v>21264791</v>
      </c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>
        <f>+'[1]AGOSTO 2016'!$Y$2000</f>
        <v>61195755</v>
      </c>
      <c r="AS50" s="25"/>
      <c r="AT50" s="25"/>
      <c r="AU50" s="25"/>
      <c r="AV50" s="25"/>
      <c r="AW50" s="25"/>
      <c r="AX50" s="27">
        <f t="shared" si="3"/>
        <v>8.3771711111111147E-2</v>
      </c>
      <c r="AY50" s="25">
        <f t="shared" si="33"/>
        <v>7539454</v>
      </c>
      <c r="AZ50" s="25">
        <f t="shared" si="34"/>
        <v>0</v>
      </c>
      <c r="BA50" s="25">
        <f t="shared" si="34"/>
        <v>0</v>
      </c>
      <c r="BB50" s="25">
        <f t="shared" si="34"/>
        <v>0</v>
      </c>
      <c r="BC50" s="25">
        <f t="shared" si="46"/>
        <v>0</v>
      </c>
      <c r="BD50" s="25">
        <f t="shared" si="46"/>
        <v>0</v>
      </c>
      <c r="BE50" s="25">
        <f t="shared" si="46"/>
        <v>0</v>
      </c>
      <c r="BF50" s="25">
        <f t="shared" si="46"/>
        <v>0</v>
      </c>
      <c r="BG50" s="25">
        <f t="shared" si="46"/>
        <v>0</v>
      </c>
      <c r="BH50" s="25">
        <f t="shared" si="53"/>
        <v>0</v>
      </c>
      <c r="BI50" s="25">
        <f t="shared" si="46"/>
        <v>0</v>
      </c>
      <c r="BJ50" s="25">
        <f t="shared" si="46"/>
        <v>0</v>
      </c>
      <c r="BK50" s="25">
        <f t="shared" si="46"/>
        <v>0</v>
      </c>
      <c r="BL50" s="25">
        <f>+T50-AQ50</f>
        <v>0</v>
      </c>
      <c r="BM50" s="25">
        <f t="shared" si="46"/>
        <v>7539454</v>
      </c>
      <c r="BN50" s="25">
        <f t="shared" si="46"/>
        <v>0</v>
      </c>
      <c r="BO50" s="25"/>
      <c r="BP50" s="25"/>
      <c r="BQ50" s="25">
        <f t="shared" si="47"/>
        <v>0</v>
      </c>
      <c r="BR50" s="25">
        <f t="shared" si="48"/>
        <v>0</v>
      </c>
      <c r="BS50" s="27">
        <f t="shared" si="10"/>
        <v>0.65731024444444441</v>
      </c>
      <c r="BT50" s="25">
        <f t="shared" si="37"/>
        <v>59157922</v>
      </c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>
        <f>+'[1]AGOSTO 2016'!$H$2001+'[1]AGOSTO 2016'!$H$2008+'[1]AGOSTO 2016'!$H$2011</f>
        <v>59157922</v>
      </c>
      <c r="CJ50" s="25"/>
      <c r="CK50" s="25"/>
      <c r="CL50" s="25"/>
      <c r="CM50" s="25"/>
      <c r="CN50" s="25"/>
      <c r="CO50" s="27">
        <f t="shared" si="12"/>
        <v>0.34268975555555559</v>
      </c>
      <c r="CP50" s="25">
        <f t="shared" si="38"/>
        <v>30842078</v>
      </c>
      <c r="CQ50" s="25">
        <f t="shared" si="39"/>
        <v>0</v>
      </c>
      <c r="CR50" s="25">
        <f t="shared" si="39"/>
        <v>21264791</v>
      </c>
      <c r="CS50" s="25">
        <f t="shared" si="39"/>
        <v>0</v>
      </c>
      <c r="CT50" s="25">
        <f t="shared" si="39"/>
        <v>0</v>
      </c>
      <c r="CU50" s="25">
        <f t="shared" si="39"/>
        <v>0</v>
      </c>
      <c r="CV50" s="25">
        <f t="shared" si="39"/>
        <v>0</v>
      </c>
      <c r="CW50" s="25">
        <f>+N50-CB50</f>
        <v>0</v>
      </c>
      <c r="CX50" s="25">
        <f>+O50-CC50</f>
        <v>0</v>
      </c>
      <c r="CY50" s="25">
        <f>+P50-CD50</f>
        <v>0</v>
      </c>
      <c r="CZ50" s="25">
        <f t="shared" si="55"/>
        <v>0</v>
      </c>
      <c r="DA50" s="25">
        <f t="shared" si="55"/>
        <v>0</v>
      </c>
      <c r="DB50" s="25">
        <f t="shared" si="55"/>
        <v>0</v>
      </c>
      <c r="DC50" s="25">
        <f>+T50-CH50</f>
        <v>0</v>
      </c>
      <c r="DD50" s="25">
        <f>+U50-CI50</f>
        <v>9577287</v>
      </c>
      <c r="DE50" s="25">
        <f>+V50-CJ50</f>
        <v>0</v>
      </c>
      <c r="DF50" s="25"/>
      <c r="DG50" s="25">
        <f>+X50-CL50</f>
        <v>0</v>
      </c>
      <c r="DH50" s="25">
        <f t="shared" si="54"/>
        <v>0</v>
      </c>
      <c r="DI50" s="25">
        <f>+Z50-CN50</f>
        <v>0</v>
      </c>
      <c r="DJ50" s="47"/>
    </row>
    <row r="51" spans="1:114" ht="21.75" customHeight="1" x14ac:dyDescent="0.25">
      <c r="A51" s="193"/>
      <c r="B51" s="188"/>
      <c r="C51" s="21" t="s">
        <v>163</v>
      </c>
      <c r="D51" s="22" t="s">
        <v>112</v>
      </c>
      <c r="E51" s="23">
        <v>410</v>
      </c>
      <c r="F51" s="24" t="s">
        <v>76</v>
      </c>
      <c r="G51" s="25">
        <f t="shared" si="31"/>
        <v>3000000</v>
      </c>
      <c r="H51" s="49"/>
      <c r="I51" s="25"/>
      <c r="J51" s="25"/>
      <c r="K51" s="49"/>
      <c r="L51" s="36"/>
      <c r="M51" s="36"/>
      <c r="N51" s="36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>
        <v>3000000</v>
      </c>
      <c r="AB51" s="27">
        <f t="shared" si="1"/>
        <v>0.60211700000000001</v>
      </c>
      <c r="AC51" s="25">
        <f t="shared" si="32"/>
        <v>1806351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>
        <f>+'[6]JULIO 2016'!$AG$1463</f>
        <v>1806351</v>
      </c>
      <c r="AX51" s="27">
        <f t="shared" si="3"/>
        <v>0.39788299999999999</v>
      </c>
      <c r="AY51" s="25">
        <f t="shared" si="33"/>
        <v>1193649</v>
      </c>
      <c r="AZ51" s="25">
        <f t="shared" si="34"/>
        <v>0</v>
      </c>
      <c r="BA51" s="25">
        <f t="shared" si="34"/>
        <v>0</v>
      </c>
      <c r="BB51" s="25">
        <f t="shared" si="34"/>
        <v>0</v>
      </c>
      <c r="BC51" s="25">
        <f t="shared" si="46"/>
        <v>0</v>
      </c>
      <c r="BD51" s="25">
        <f t="shared" si="46"/>
        <v>0</v>
      </c>
      <c r="BE51" s="25">
        <f t="shared" si="46"/>
        <v>0</v>
      </c>
      <c r="BF51" s="25">
        <f t="shared" si="46"/>
        <v>0</v>
      </c>
      <c r="BG51" s="25">
        <f t="shared" si="46"/>
        <v>0</v>
      </c>
      <c r="BH51" s="25">
        <f t="shared" si="53"/>
        <v>0</v>
      </c>
      <c r="BI51" s="25">
        <f t="shared" si="46"/>
        <v>0</v>
      </c>
      <c r="BJ51" s="25">
        <f t="shared" si="46"/>
        <v>0</v>
      </c>
      <c r="BK51" s="25">
        <f t="shared" si="46"/>
        <v>0</v>
      </c>
      <c r="BL51" s="25"/>
      <c r="BM51" s="25">
        <f t="shared" si="46"/>
        <v>0</v>
      </c>
      <c r="BN51" s="25">
        <f t="shared" si="46"/>
        <v>0</v>
      </c>
      <c r="BO51" s="25"/>
      <c r="BP51" s="25"/>
      <c r="BQ51" s="25">
        <f t="shared" si="47"/>
        <v>0</v>
      </c>
      <c r="BR51" s="25">
        <f t="shared" si="48"/>
        <v>1193649</v>
      </c>
      <c r="BS51" s="27">
        <f t="shared" si="10"/>
        <v>0.60211700000000001</v>
      </c>
      <c r="BT51" s="25">
        <f t="shared" si="37"/>
        <v>1806351</v>
      </c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>
        <f>+'[6]JULIO 2016'!$AG$1463</f>
        <v>1806351</v>
      </c>
      <c r="CO51" s="27">
        <f t="shared" si="12"/>
        <v>0.39788299999999999</v>
      </c>
      <c r="CP51" s="25">
        <f t="shared" si="38"/>
        <v>1193649</v>
      </c>
      <c r="CQ51" s="25">
        <f t="shared" si="39"/>
        <v>0</v>
      </c>
      <c r="CR51" s="25">
        <f t="shared" si="39"/>
        <v>0</v>
      </c>
      <c r="CS51" s="25">
        <f t="shared" si="39"/>
        <v>0</v>
      </c>
      <c r="CT51" s="25">
        <f t="shared" si="39"/>
        <v>0</v>
      </c>
      <c r="CU51" s="25">
        <f t="shared" si="39"/>
        <v>0</v>
      </c>
      <c r="CV51" s="25">
        <f t="shared" si="39"/>
        <v>0</v>
      </c>
      <c r="CW51" s="25">
        <f>N51-CB51</f>
        <v>0</v>
      </c>
      <c r="CX51" s="25">
        <f>O51-CC51</f>
        <v>0</v>
      </c>
      <c r="CY51" s="25">
        <f>P51-CD51</f>
        <v>0</v>
      </c>
      <c r="CZ51" s="25">
        <f t="shared" si="55"/>
        <v>0</v>
      </c>
      <c r="DA51" s="25">
        <f t="shared" si="55"/>
        <v>0</v>
      </c>
      <c r="DB51" s="25">
        <f t="shared" si="55"/>
        <v>0</v>
      </c>
      <c r="DC51" s="25">
        <f>T51-CH51</f>
        <v>0</v>
      </c>
      <c r="DD51" s="25">
        <f>U51-CI51</f>
        <v>0</v>
      </c>
      <c r="DE51" s="25">
        <f>V51-CJ51</f>
        <v>0</v>
      </c>
      <c r="DF51" s="25"/>
      <c r="DG51" s="25">
        <f>X51-CL51</f>
        <v>0</v>
      </c>
      <c r="DH51" s="25">
        <f t="shared" si="54"/>
        <v>0</v>
      </c>
      <c r="DI51" s="25">
        <f>Z51-CN51</f>
        <v>1193649</v>
      </c>
      <c r="DJ51" s="47"/>
    </row>
    <row r="52" spans="1:114" ht="51.75" customHeight="1" x14ac:dyDescent="0.25">
      <c r="A52" s="193"/>
      <c r="B52" s="186" t="s">
        <v>164</v>
      </c>
      <c r="C52" s="21" t="s">
        <v>165</v>
      </c>
      <c r="D52" s="22" t="s">
        <v>166</v>
      </c>
      <c r="E52" s="23">
        <v>410</v>
      </c>
      <c r="F52" s="24" t="s">
        <v>167</v>
      </c>
      <c r="G52" s="25">
        <f t="shared" si="31"/>
        <v>42000000</v>
      </c>
      <c r="H52" s="36"/>
      <c r="I52" s="25">
        <v>30000000</v>
      </c>
      <c r="J52" s="25"/>
      <c r="K52" s="36"/>
      <c r="L52" s="36"/>
      <c r="M52" s="36"/>
      <c r="N52" s="36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>
        <f>22000000+5000000-16000000+1000000</f>
        <v>12000000</v>
      </c>
      <c r="AB52" s="27">
        <f t="shared" si="1"/>
        <v>1</v>
      </c>
      <c r="AC52" s="25">
        <f t="shared" si="32"/>
        <v>42000000</v>
      </c>
      <c r="AD52" s="25"/>
      <c r="AE52" s="25"/>
      <c r="AF52" s="25">
        <v>30000000</v>
      </c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>
        <f>+'[1]AGOSTO 2016'!$AG$2028</f>
        <v>12000000</v>
      </c>
      <c r="AX52" s="27">
        <f t="shared" si="3"/>
        <v>0</v>
      </c>
      <c r="AY52" s="25">
        <f t="shared" si="33"/>
        <v>0</v>
      </c>
      <c r="AZ52" s="25">
        <f t="shared" si="34"/>
        <v>0</v>
      </c>
      <c r="BA52" s="25">
        <f t="shared" si="34"/>
        <v>0</v>
      </c>
      <c r="BB52" s="25">
        <f t="shared" si="34"/>
        <v>0</v>
      </c>
      <c r="BC52" s="25">
        <f t="shared" si="46"/>
        <v>0</v>
      </c>
      <c r="BD52" s="25">
        <f t="shared" si="46"/>
        <v>0</v>
      </c>
      <c r="BE52" s="25">
        <f t="shared" si="46"/>
        <v>0</v>
      </c>
      <c r="BF52" s="25">
        <f t="shared" si="46"/>
        <v>0</v>
      </c>
      <c r="BG52" s="25">
        <f t="shared" si="46"/>
        <v>0</v>
      </c>
      <c r="BH52" s="25">
        <f t="shared" si="53"/>
        <v>0</v>
      </c>
      <c r="BI52" s="25">
        <f t="shared" si="46"/>
        <v>0</v>
      </c>
      <c r="BJ52" s="25">
        <f t="shared" si="46"/>
        <v>0</v>
      </c>
      <c r="BK52" s="25">
        <f t="shared" si="46"/>
        <v>0</v>
      </c>
      <c r="BL52" s="25">
        <f t="shared" si="46"/>
        <v>0</v>
      </c>
      <c r="BM52" s="25">
        <f t="shared" si="46"/>
        <v>0</v>
      </c>
      <c r="BN52" s="25">
        <f t="shared" si="46"/>
        <v>0</v>
      </c>
      <c r="BO52" s="25"/>
      <c r="BP52" s="25"/>
      <c r="BQ52" s="25">
        <f t="shared" si="47"/>
        <v>0</v>
      </c>
      <c r="BR52" s="25">
        <f t="shared" si="48"/>
        <v>0</v>
      </c>
      <c r="BS52" s="27">
        <f t="shared" si="10"/>
        <v>0.92264933333333332</v>
      </c>
      <c r="BT52" s="25">
        <f t="shared" si="37"/>
        <v>38751272</v>
      </c>
      <c r="BU52" s="25"/>
      <c r="BV52" s="25"/>
      <c r="BW52" s="25">
        <f>+'[6]JULIO 2016'!$H$1477</f>
        <v>29751272</v>
      </c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>
        <f>+'[1]AGOSTO 2016'!$H$2026-BW52</f>
        <v>9000000</v>
      </c>
      <c r="CO52" s="27">
        <f t="shared" si="12"/>
        <v>7.7350666666666679E-2</v>
      </c>
      <c r="CP52" s="25">
        <f t="shared" si="38"/>
        <v>3248728</v>
      </c>
      <c r="CQ52" s="25">
        <f t="shared" si="39"/>
        <v>0</v>
      </c>
      <c r="CR52" s="25">
        <f t="shared" si="39"/>
        <v>248728</v>
      </c>
      <c r="CS52" s="25">
        <f t="shared" si="39"/>
        <v>0</v>
      </c>
      <c r="CT52" s="25">
        <f t="shared" si="39"/>
        <v>0</v>
      </c>
      <c r="CU52" s="25">
        <f t="shared" si="39"/>
        <v>0</v>
      </c>
      <c r="CV52" s="25">
        <f t="shared" si="39"/>
        <v>0</v>
      </c>
      <c r="CW52" s="25">
        <f t="shared" ref="CW52:CX57" si="56">+N52-CB52</f>
        <v>0</v>
      </c>
      <c r="CX52" s="25">
        <f t="shared" si="56"/>
        <v>0</v>
      </c>
      <c r="CY52" s="25">
        <f t="shared" ref="CY52:CY57" si="57">P52-CD52</f>
        <v>0</v>
      </c>
      <c r="CZ52" s="25">
        <f t="shared" si="55"/>
        <v>0</v>
      </c>
      <c r="DA52" s="25">
        <f t="shared" si="55"/>
        <v>0</v>
      </c>
      <c r="DB52" s="25">
        <f t="shared" si="55"/>
        <v>0</v>
      </c>
      <c r="DC52" s="25">
        <f t="shared" ref="DC52:DE57" si="58">+T52-CH52</f>
        <v>0</v>
      </c>
      <c r="DD52" s="25">
        <f t="shared" si="58"/>
        <v>0</v>
      </c>
      <c r="DE52" s="25">
        <f t="shared" si="58"/>
        <v>0</v>
      </c>
      <c r="DF52" s="25"/>
      <c r="DG52" s="25">
        <f t="shared" ref="DG52:DG57" si="59">+X52-CL52</f>
        <v>0</v>
      </c>
      <c r="DH52" s="25">
        <f t="shared" si="54"/>
        <v>0</v>
      </c>
      <c r="DI52" s="25">
        <f t="shared" ref="DI52:DI57" si="60">+Z52-CN52</f>
        <v>3000000</v>
      </c>
    </row>
    <row r="53" spans="1:114" ht="45" x14ac:dyDescent="0.25">
      <c r="A53" s="193"/>
      <c r="B53" s="187"/>
      <c r="C53" s="21" t="s">
        <v>168</v>
      </c>
      <c r="D53" s="22" t="s">
        <v>169</v>
      </c>
      <c r="E53" s="23">
        <v>410</v>
      </c>
      <c r="F53" s="24" t="s">
        <v>91</v>
      </c>
      <c r="G53" s="25">
        <f t="shared" si="31"/>
        <v>10000000</v>
      </c>
      <c r="H53" s="36"/>
      <c r="I53" s="25"/>
      <c r="J53" s="25"/>
      <c r="K53" s="36"/>
      <c r="L53" s="36"/>
      <c r="M53" s="36"/>
      <c r="N53" s="36"/>
      <c r="O53" s="25"/>
      <c r="P53" s="25"/>
      <c r="Q53" s="25"/>
      <c r="R53" s="25"/>
      <c r="S53" s="25"/>
      <c r="T53" s="25"/>
      <c r="U53" s="25">
        <v>10000000</v>
      </c>
      <c r="V53" s="25"/>
      <c r="W53" s="25"/>
      <c r="X53" s="25"/>
      <c r="Y53" s="25"/>
      <c r="Z53" s="25"/>
      <c r="AB53" s="27">
        <f t="shared" si="1"/>
        <v>1</v>
      </c>
      <c r="AC53" s="25">
        <f t="shared" si="32"/>
        <v>10000000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>
        <v>10000000</v>
      </c>
      <c r="AS53" s="25"/>
      <c r="AT53" s="25"/>
      <c r="AU53" s="25"/>
      <c r="AV53" s="25"/>
      <c r="AW53" s="25"/>
      <c r="AX53" s="27">
        <f t="shared" si="3"/>
        <v>0</v>
      </c>
      <c r="AY53" s="25">
        <f t="shared" si="33"/>
        <v>0</v>
      </c>
      <c r="AZ53" s="25">
        <f t="shared" si="34"/>
        <v>0</v>
      </c>
      <c r="BA53" s="25">
        <f t="shared" si="34"/>
        <v>0</v>
      </c>
      <c r="BB53" s="25">
        <f t="shared" si="34"/>
        <v>0</v>
      </c>
      <c r="BC53" s="25">
        <f t="shared" ref="BC53:BG57" si="61">+K53-AH53</f>
        <v>0</v>
      </c>
      <c r="BD53" s="25">
        <f t="shared" si="61"/>
        <v>0</v>
      </c>
      <c r="BE53" s="25">
        <f t="shared" si="61"/>
        <v>0</v>
      </c>
      <c r="BF53" s="25">
        <f t="shared" si="61"/>
        <v>0</v>
      </c>
      <c r="BG53" s="25">
        <f t="shared" si="61"/>
        <v>0</v>
      </c>
      <c r="BH53" s="25">
        <f t="shared" si="53"/>
        <v>0</v>
      </c>
      <c r="BI53" s="25">
        <f t="shared" ref="BI53:BN57" si="62">+Q53-AN53</f>
        <v>0</v>
      </c>
      <c r="BJ53" s="25">
        <f t="shared" si="62"/>
        <v>0</v>
      </c>
      <c r="BK53" s="25">
        <f t="shared" si="62"/>
        <v>0</v>
      </c>
      <c r="BL53" s="25">
        <f t="shared" si="62"/>
        <v>0</v>
      </c>
      <c r="BM53" s="25">
        <f t="shared" si="62"/>
        <v>0</v>
      </c>
      <c r="BN53" s="25">
        <f t="shared" si="62"/>
        <v>0</v>
      </c>
      <c r="BO53" s="25"/>
      <c r="BP53" s="25"/>
      <c r="BQ53" s="25">
        <f t="shared" si="47"/>
        <v>0</v>
      </c>
      <c r="BR53" s="25">
        <f t="shared" si="48"/>
        <v>0</v>
      </c>
      <c r="BS53" s="27">
        <f t="shared" si="10"/>
        <v>0.9553836</v>
      </c>
      <c r="BT53" s="25">
        <f t="shared" si="37"/>
        <v>9553836</v>
      </c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>
        <f>+'[5]FEBRERO 2016'!$H$621</f>
        <v>9553836</v>
      </c>
      <c r="CJ53" s="25"/>
      <c r="CK53" s="25"/>
      <c r="CL53" s="25"/>
      <c r="CM53" s="25"/>
      <c r="CN53" s="25"/>
      <c r="CO53" s="27">
        <f t="shared" si="12"/>
        <v>4.4616400000000001E-2</v>
      </c>
      <c r="CP53" s="25">
        <f t="shared" si="38"/>
        <v>446164</v>
      </c>
      <c r="CQ53" s="25">
        <f t="shared" si="39"/>
        <v>0</v>
      </c>
      <c r="CR53" s="25">
        <f t="shared" si="39"/>
        <v>0</v>
      </c>
      <c r="CS53" s="25">
        <f t="shared" si="39"/>
        <v>0</v>
      </c>
      <c r="CT53" s="25">
        <f t="shared" si="39"/>
        <v>0</v>
      </c>
      <c r="CU53" s="25">
        <f t="shared" si="39"/>
        <v>0</v>
      </c>
      <c r="CV53" s="25">
        <f t="shared" si="39"/>
        <v>0</v>
      </c>
      <c r="CW53" s="25">
        <f t="shared" si="56"/>
        <v>0</v>
      </c>
      <c r="CX53" s="25">
        <f t="shared" si="56"/>
        <v>0</v>
      </c>
      <c r="CY53" s="25">
        <f t="shared" si="57"/>
        <v>0</v>
      </c>
      <c r="CZ53" s="25">
        <f t="shared" si="55"/>
        <v>0</v>
      </c>
      <c r="DA53" s="25">
        <f t="shared" si="55"/>
        <v>0</v>
      </c>
      <c r="DB53" s="25">
        <f t="shared" si="55"/>
        <v>0</v>
      </c>
      <c r="DC53" s="25">
        <f t="shared" si="58"/>
        <v>0</v>
      </c>
      <c r="DD53" s="25">
        <f t="shared" si="58"/>
        <v>446164</v>
      </c>
      <c r="DE53" s="25">
        <f t="shared" si="58"/>
        <v>0</v>
      </c>
      <c r="DF53" s="25"/>
      <c r="DG53" s="25">
        <f t="shared" si="59"/>
        <v>0</v>
      </c>
      <c r="DH53" s="25">
        <f t="shared" si="54"/>
        <v>0</v>
      </c>
      <c r="DI53" s="25">
        <f t="shared" si="60"/>
        <v>0</v>
      </c>
    </row>
    <row r="54" spans="1:114" ht="31.5" customHeight="1" x14ac:dyDescent="0.25">
      <c r="A54" s="193"/>
      <c r="B54" s="187"/>
      <c r="C54" s="21" t="s">
        <v>170</v>
      </c>
      <c r="D54" s="22" t="s">
        <v>171</v>
      </c>
      <c r="E54" s="23">
        <v>410</v>
      </c>
      <c r="F54" s="24" t="s">
        <v>91</v>
      </c>
      <c r="G54" s="25">
        <f t="shared" si="31"/>
        <v>30000000</v>
      </c>
      <c r="H54" s="36"/>
      <c r="I54" s="25">
        <f>11831904</f>
        <v>11831904</v>
      </c>
      <c r="J54" s="25"/>
      <c r="K54" s="36"/>
      <c r="L54" s="36"/>
      <c r="M54" s="36"/>
      <c r="N54" s="36"/>
      <c r="O54" s="25"/>
      <c r="P54" s="25"/>
      <c r="Q54" s="25"/>
      <c r="R54" s="25"/>
      <c r="S54" s="25"/>
      <c r="T54" s="25"/>
      <c r="U54" s="25">
        <v>18168096</v>
      </c>
      <c r="V54" s="25"/>
      <c r="W54" s="25"/>
      <c r="X54" s="25"/>
      <c r="Y54" s="25"/>
      <c r="Z54" s="25"/>
      <c r="AB54" s="27">
        <f t="shared" si="1"/>
        <v>1</v>
      </c>
      <c r="AC54" s="25">
        <f t="shared" si="32"/>
        <v>30000000</v>
      </c>
      <c r="AD54" s="25"/>
      <c r="AE54" s="25"/>
      <c r="AF54" s="25">
        <f>+'[2]MARZO 2016 ULTIMO'!$M$817</f>
        <v>11831904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>
        <v>18168096</v>
      </c>
      <c r="AS54" s="25"/>
      <c r="AT54" s="25"/>
      <c r="AU54" s="25"/>
      <c r="AV54" s="25"/>
      <c r="AW54" s="25"/>
      <c r="AX54" s="27">
        <f t="shared" si="3"/>
        <v>0</v>
      </c>
      <c r="AY54" s="25">
        <f t="shared" si="33"/>
        <v>0</v>
      </c>
      <c r="AZ54" s="25">
        <f t="shared" si="34"/>
        <v>0</v>
      </c>
      <c r="BA54" s="25">
        <f t="shared" si="34"/>
        <v>0</v>
      </c>
      <c r="BB54" s="25">
        <f t="shared" si="34"/>
        <v>0</v>
      </c>
      <c r="BC54" s="25">
        <f t="shared" si="61"/>
        <v>0</v>
      </c>
      <c r="BD54" s="25">
        <f t="shared" si="61"/>
        <v>0</v>
      </c>
      <c r="BE54" s="25">
        <f t="shared" si="61"/>
        <v>0</v>
      </c>
      <c r="BF54" s="25">
        <f t="shared" si="61"/>
        <v>0</v>
      </c>
      <c r="BG54" s="25">
        <f t="shared" si="61"/>
        <v>0</v>
      </c>
      <c r="BH54" s="25">
        <f t="shared" si="53"/>
        <v>0</v>
      </c>
      <c r="BI54" s="25">
        <f t="shared" si="62"/>
        <v>0</v>
      </c>
      <c r="BJ54" s="25">
        <f t="shared" si="62"/>
        <v>0</v>
      </c>
      <c r="BK54" s="25">
        <f t="shared" si="62"/>
        <v>0</v>
      </c>
      <c r="BL54" s="25">
        <f t="shared" si="62"/>
        <v>0</v>
      </c>
      <c r="BM54" s="25">
        <f t="shared" si="62"/>
        <v>0</v>
      </c>
      <c r="BN54" s="25">
        <f t="shared" si="62"/>
        <v>0</v>
      </c>
      <c r="BO54" s="25"/>
      <c r="BP54" s="25"/>
      <c r="BQ54" s="25">
        <f t="shared" si="47"/>
        <v>0</v>
      </c>
      <c r="BR54" s="25">
        <f t="shared" si="48"/>
        <v>0</v>
      </c>
      <c r="BS54" s="27">
        <f t="shared" si="10"/>
        <v>1</v>
      </c>
      <c r="BT54" s="25">
        <f t="shared" si="37"/>
        <v>30000000</v>
      </c>
      <c r="BU54" s="25"/>
      <c r="BV54" s="25"/>
      <c r="BW54" s="25">
        <f>+'[1]AGOSTO 2016'!$M$2102</f>
        <v>11831904</v>
      </c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>
        <f>+'[5]FEBRERO 2016'!$H$635</f>
        <v>18168096</v>
      </c>
      <c r="CJ54" s="25"/>
      <c r="CK54" s="25"/>
      <c r="CL54" s="25"/>
      <c r="CM54" s="25"/>
      <c r="CN54" s="25"/>
      <c r="CO54" s="27">
        <f t="shared" si="12"/>
        <v>0</v>
      </c>
      <c r="CP54" s="25">
        <f t="shared" si="38"/>
        <v>0</v>
      </c>
      <c r="CQ54" s="25">
        <f t="shared" si="39"/>
        <v>0</v>
      </c>
      <c r="CR54" s="25">
        <f t="shared" si="39"/>
        <v>0</v>
      </c>
      <c r="CS54" s="25">
        <f t="shared" si="39"/>
        <v>0</v>
      </c>
      <c r="CT54" s="25">
        <f t="shared" si="39"/>
        <v>0</v>
      </c>
      <c r="CU54" s="25">
        <f t="shared" si="39"/>
        <v>0</v>
      </c>
      <c r="CV54" s="25">
        <f t="shared" si="39"/>
        <v>0</v>
      </c>
      <c r="CW54" s="25">
        <f t="shared" si="56"/>
        <v>0</v>
      </c>
      <c r="CX54" s="25">
        <f t="shared" si="56"/>
        <v>0</v>
      </c>
      <c r="CY54" s="25">
        <f t="shared" si="57"/>
        <v>0</v>
      </c>
      <c r="CZ54" s="25">
        <f t="shared" si="55"/>
        <v>0</v>
      </c>
      <c r="DA54" s="25">
        <f t="shared" si="55"/>
        <v>0</v>
      </c>
      <c r="DB54" s="25">
        <f t="shared" si="55"/>
        <v>0</v>
      </c>
      <c r="DC54" s="25">
        <f t="shared" si="58"/>
        <v>0</v>
      </c>
      <c r="DD54" s="25">
        <f t="shared" si="58"/>
        <v>0</v>
      </c>
      <c r="DE54" s="25">
        <f t="shared" si="58"/>
        <v>0</v>
      </c>
      <c r="DF54" s="25"/>
      <c r="DG54" s="25">
        <f t="shared" si="59"/>
        <v>0</v>
      </c>
      <c r="DH54" s="25">
        <f t="shared" si="54"/>
        <v>0</v>
      </c>
      <c r="DI54" s="25">
        <f t="shared" si="60"/>
        <v>0</v>
      </c>
    </row>
    <row r="55" spans="1:114" ht="19.5" customHeight="1" x14ac:dyDescent="0.25">
      <c r="A55" s="193"/>
      <c r="B55" s="187"/>
      <c r="C55" s="21" t="s">
        <v>172</v>
      </c>
      <c r="D55" s="22" t="s">
        <v>173</v>
      </c>
      <c r="E55" s="23">
        <v>410</v>
      </c>
      <c r="F55" s="24" t="s">
        <v>91</v>
      </c>
      <c r="G55" s="25">
        <f t="shared" si="31"/>
        <v>10000000</v>
      </c>
      <c r="H55" s="36"/>
      <c r="I55" s="36"/>
      <c r="J55" s="36"/>
      <c r="K55" s="36"/>
      <c r="L55" s="36"/>
      <c r="M55" s="36"/>
      <c r="N55" s="36"/>
      <c r="O55" s="25"/>
      <c r="P55" s="25"/>
      <c r="Q55" s="25"/>
      <c r="R55" s="25"/>
      <c r="S55" s="25"/>
      <c r="T55" s="25"/>
      <c r="U55" s="25">
        <v>10000000</v>
      </c>
      <c r="V55" s="25"/>
      <c r="W55" s="25"/>
      <c r="X55" s="25"/>
      <c r="Y55" s="25"/>
      <c r="Z55" s="25"/>
      <c r="AB55" s="27">
        <f t="shared" si="1"/>
        <v>1</v>
      </c>
      <c r="AC55" s="25">
        <f t="shared" si="32"/>
        <v>10000000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>
        <f>+'[4]ENERO 2016'!$Y$478</f>
        <v>10000000</v>
      </c>
      <c r="AS55" s="25"/>
      <c r="AT55" s="25"/>
      <c r="AU55" s="25"/>
      <c r="AV55" s="25"/>
      <c r="AW55" s="25"/>
      <c r="AX55" s="27">
        <f t="shared" si="3"/>
        <v>0</v>
      </c>
      <c r="AY55" s="25">
        <f t="shared" si="33"/>
        <v>0</v>
      </c>
      <c r="AZ55" s="25">
        <f t="shared" si="34"/>
        <v>0</v>
      </c>
      <c r="BA55" s="25">
        <f t="shared" si="34"/>
        <v>0</v>
      </c>
      <c r="BB55" s="25">
        <f t="shared" si="34"/>
        <v>0</v>
      </c>
      <c r="BC55" s="25">
        <f t="shared" si="61"/>
        <v>0</v>
      </c>
      <c r="BD55" s="25">
        <f t="shared" si="61"/>
        <v>0</v>
      </c>
      <c r="BE55" s="25">
        <f t="shared" si="61"/>
        <v>0</v>
      </c>
      <c r="BF55" s="25">
        <f t="shared" si="61"/>
        <v>0</v>
      </c>
      <c r="BG55" s="25">
        <f t="shared" si="61"/>
        <v>0</v>
      </c>
      <c r="BH55" s="25">
        <f t="shared" si="53"/>
        <v>0</v>
      </c>
      <c r="BI55" s="25">
        <f t="shared" si="62"/>
        <v>0</v>
      </c>
      <c r="BJ55" s="25">
        <f t="shared" si="62"/>
        <v>0</v>
      </c>
      <c r="BK55" s="25">
        <f t="shared" si="62"/>
        <v>0</v>
      </c>
      <c r="BL55" s="25">
        <f t="shared" si="62"/>
        <v>0</v>
      </c>
      <c r="BM55" s="25">
        <f t="shared" si="62"/>
        <v>0</v>
      </c>
      <c r="BN55" s="25">
        <f t="shared" si="62"/>
        <v>0</v>
      </c>
      <c r="BO55" s="25"/>
      <c r="BP55" s="25"/>
      <c r="BQ55" s="25">
        <f t="shared" si="47"/>
        <v>0</v>
      </c>
      <c r="BR55" s="25">
        <f t="shared" si="48"/>
        <v>0</v>
      </c>
      <c r="BS55" s="27">
        <f t="shared" si="10"/>
        <v>1</v>
      </c>
      <c r="BT55" s="25">
        <f t="shared" si="37"/>
        <v>10000000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>
        <v>10000000</v>
      </c>
      <c r="CJ55" s="25"/>
      <c r="CK55" s="25"/>
      <c r="CL55" s="25"/>
      <c r="CM55" s="25"/>
      <c r="CN55" s="25"/>
      <c r="CO55" s="27">
        <f t="shared" si="12"/>
        <v>0</v>
      </c>
      <c r="CP55" s="25">
        <f t="shared" si="38"/>
        <v>0</v>
      </c>
      <c r="CQ55" s="25">
        <f t="shared" si="39"/>
        <v>0</v>
      </c>
      <c r="CR55" s="25">
        <f t="shared" si="39"/>
        <v>0</v>
      </c>
      <c r="CS55" s="25">
        <f t="shared" si="39"/>
        <v>0</v>
      </c>
      <c r="CT55" s="25">
        <f t="shared" si="39"/>
        <v>0</v>
      </c>
      <c r="CU55" s="25">
        <f t="shared" si="39"/>
        <v>0</v>
      </c>
      <c r="CV55" s="25">
        <f t="shared" si="39"/>
        <v>0</v>
      </c>
      <c r="CW55" s="25">
        <f t="shared" si="56"/>
        <v>0</v>
      </c>
      <c r="CX55" s="25">
        <f t="shared" si="56"/>
        <v>0</v>
      </c>
      <c r="CY55" s="25">
        <f t="shared" si="57"/>
        <v>0</v>
      </c>
      <c r="CZ55" s="25">
        <f t="shared" si="55"/>
        <v>0</v>
      </c>
      <c r="DA55" s="25">
        <f t="shared" si="55"/>
        <v>0</v>
      </c>
      <c r="DB55" s="25">
        <f t="shared" si="55"/>
        <v>0</v>
      </c>
      <c r="DC55" s="25">
        <f t="shared" si="58"/>
        <v>0</v>
      </c>
      <c r="DD55" s="25">
        <f t="shared" si="58"/>
        <v>0</v>
      </c>
      <c r="DE55" s="25">
        <f t="shared" si="58"/>
        <v>0</v>
      </c>
      <c r="DF55" s="25"/>
      <c r="DG55" s="25">
        <f t="shared" si="59"/>
        <v>0</v>
      </c>
      <c r="DH55" s="25">
        <f t="shared" si="54"/>
        <v>0</v>
      </c>
      <c r="DI55" s="25">
        <f t="shared" si="60"/>
        <v>0</v>
      </c>
    </row>
    <row r="56" spans="1:114" ht="38.25" customHeight="1" x14ac:dyDescent="0.25">
      <c r="A56" s="193"/>
      <c r="B56" s="187"/>
      <c r="C56" s="21" t="s">
        <v>174</v>
      </c>
      <c r="D56" s="22" t="s">
        <v>175</v>
      </c>
      <c r="E56" s="23">
        <v>410</v>
      </c>
      <c r="F56" s="24" t="s">
        <v>91</v>
      </c>
      <c r="G56" s="25">
        <f t="shared" si="31"/>
        <v>94368590</v>
      </c>
      <c r="H56" s="36"/>
      <c r="I56" s="36"/>
      <c r="J56" s="36"/>
      <c r="K56" s="36"/>
      <c r="L56" s="36">
        <f>74368590</f>
        <v>74368590</v>
      </c>
      <c r="M56" s="36"/>
      <c r="N56" s="36"/>
      <c r="O56" s="25"/>
      <c r="P56" s="25"/>
      <c r="Q56" s="25"/>
      <c r="R56" s="25"/>
      <c r="S56" s="25"/>
      <c r="T56" s="25"/>
      <c r="U56" s="25">
        <v>20000000</v>
      </c>
      <c r="V56" s="25"/>
      <c r="W56" s="25"/>
      <c r="X56" s="25"/>
      <c r="Y56" s="25"/>
      <c r="Z56" s="25"/>
      <c r="AB56" s="27">
        <f t="shared" si="1"/>
        <v>0.64894196257462367</v>
      </c>
      <c r="AC56" s="25">
        <f t="shared" si="32"/>
        <v>61239738</v>
      </c>
      <c r="AD56" s="25"/>
      <c r="AE56" s="25"/>
      <c r="AF56" s="25"/>
      <c r="AG56" s="25"/>
      <c r="AH56" s="25"/>
      <c r="AI56" s="25">
        <f>+'[1]AGOSTO 2016'!$P$2179</f>
        <v>43061377</v>
      </c>
      <c r="AJ56" s="25"/>
      <c r="AK56" s="25"/>
      <c r="AL56" s="25"/>
      <c r="AM56" s="25"/>
      <c r="AN56" s="25"/>
      <c r="AO56" s="25"/>
      <c r="AP56" s="25"/>
      <c r="AQ56" s="25"/>
      <c r="AR56" s="25">
        <f>+'[7]JUNIO 2016'!$Y$1439</f>
        <v>18178361</v>
      </c>
      <c r="AS56" s="25"/>
      <c r="AT56" s="25"/>
      <c r="AU56" s="25"/>
      <c r="AV56" s="25"/>
      <c r="AW56" s="25"/>
      <c r="AX56" s="27">
        <f t="shared" si="3"/>
        <v>0.35105803742537633</v>
      </c>
      <c r="AY56" s="25">
        <f t="shared" si="33"/>
        <v>33128852</v>
      </c>
      <c r="AZ56" s="25">
        <f t="shared" si="34"/>
        <v>0</v>
      </c>
      <c r="BA56" s="25">
        <f t="shared" si="34"/>
        <v>0</v>
      </c>
      <c r="BB56" s="25">
        <f t="shared" si="34"/>
        <v>0</v>
      </c>
      <c r="BC56" s="25">
        <f t="shared" si="61"/>
        <v>0</v>
      </c>
      <c r="BD56" s="25">
        <f t="shared" si="61"/>
        <v>31307213</v>
      </c>
      <c r="BE56" s="25">
        <f t="shared" si="61"/>
        <v>0</v>
      </c>
      <c r="BF56" s="25">
        <f t="shared" si="61"/>
        <v>0</v>
      </c>
      <c r="BG56" s="25">
        <f t="shared" si="61"/>
        <v>0</v>
      </c>
      <c r="BH56" s="25">
        <f t="shared" si="53"/>
        <v>0</v>
      </c>
      <c r="BI56" s="25">
        <f t="shared" si="62"/>
        <v>0</v>
      </c>
      <c r="BJ56" s="25">
        <f t="shared" si="62"/>
        <v>0</v>
      </c>
      <c r="BK56" s="25">
        <f t="shared" si="62"/>
        <v>0</v>
      </c>
      <c r="BL56" s="25">
        <f t="shared" si="62"/>
        <v>0</v>
      </c>
      <c r="BM56" s="25">
        <f t="shared" si="62"/>
        <v>1821639</v>
      </c>
      <c r="BN56" s="25">
        <f t="shared" si="62"/>
        <v>0</v>
      </c>
      <c r="BO56" s="25"/>
      <c r="BP56" s="25"/>
      <c r="BQ56" s="25">
        <f t="shared" si="47"/>
        <v>0</v>
      </c>
      <c r="BR56" s="25">
        <f t="shared" si="48"/>
        <v>0</v>
      </c>
      <c r="BS56" s="27">
        <f t="shared" si="10"/>
        <v>0.52141319479288606</v>
      </c>
      <c r="BT56" s="25">
        <f t="shared" si="37"/>
        <v>49205028</v>
      </c>
      <c r="BU56" s="25"/>
      <c r="BV56" s="25"/>
      <c r="BW56" s="25"/>
      <c r="BX56" s="25"/>
      <c r="BY56" s="25"/>
      <c r="BZ56" s="25">
        <v>35500000</v>
      </c>
      <c r="CA56" s="25"/>
      <c r="CB56" s="25"/>
      <c r="CC56" s="25"/>
      <c r="CD56" s="25"/>
      <c r="CE56" s="25"/>
      <c r="CF56" s="25"/>
      <c r="CG56" s="25"/>
      <c r="CH56" s="25"/>
      <c r="CI56" s="25">
        <f>+'[1]AGOSTO 2016'!$H$2180+'[1]AGOSTO 2016'!$H$2183+'[1]AGOSTO 2016'!$H$2185+'[1]AGOSTO 2016'!$H$2187+'[1]AGOSTO 2016'!$H$2190+'[1]AGOSTO 2016'!$H$2191</f>
        <v>13705028</v>
      </c>
      <c r="CJ56" s="25"/>
      <c r="CK56" s="25"/>
      <c r="CL56" s="25"/>
      <c r="CM56" s="25"/>
      <c r="CN56" s="25"/>
      <c r="CO56" s="27">
        <f t="shared" si="12"/>
        <v>0.47858680520711394</v>
      </c>
      <c r="CP56" s="25">
        <f t="shared" si="38"/>
        <v>45163562</v>
      </c>
      <c r="CQ56" s="25">
        <f t="shared" si="39"/>
        <v>0</v>
      </c>
      <c r="CR56" s="25">
        <f t="shared" si="39"/>
        <v>0</v>
      </c>
      <c r="CS56" s="25">
        <f t="shared" si="39"/>
        <v>0</v>
      </c>
      <c r="CT56" s="25">
        <f t="shared" si="39"/>
        <v>0</v>
      </c>
      <c r="CU56" s="25">
        <f t="shared" si="39"/>
        <v>38868590</v>
      </c>
      <c r="CV56" s="25">
        <f t="shared" si="39"/>
        <v>0</v>
      </c>
      <c r="CW56" s="25">
        <f t="shared" si="56"/>
        <v>0</v>
      </c>
      <c r="CX56" s="25">
        <f t="shared" si="56"/>
        <v>0</v>
      </c>
      <c r="CY56" s="25">
        <f t="shared" si="57"/>
        <v>0</v>
      </c>
      <c r="CZ56" s="25">
        <f t="shared" si="55"/>
        <v>0</v>
      </c>
      <c r="DA56" s="25">
        <f t="shared" si="55"/>
        <v>0</v>
      </c>
      <c r="DB56" s="25">
        <f t="shared" si="55"/>
        <v>0</v>
      </c>
      <c r="DC56" s="25">
        <f t="shared" si="58"/>
        <v>0</v>
      </c>
      <c r="DD56" s="25">
        <f t="shared" si="58"/>
        <v>6294972</v>
      </c>
      <c r="DE56" s="25">
        <f t="shared" si="58"/>
        <v>0</v>
      </c>
      <c r="DF56" s="25"/>
      <c r="DG56" s="25">
        <f t="shared" si="59"/>
        <v>0</v>
      </c>
      <c r="DH56" s="25">
        <f t="shared" si="54"/>
        <v>0</v>
      </c>
      <c r="DI56" s="25">
        <f t="shared" si="60"/>
        <v>0</v>
      </c>
    </row>
    <row r="57" spans="1:114" ht="34.5" customHeight="1" x14ac:dyDescent="0.25">
      <c r="A57" s="194"/>
      <c r="B57" s="188"/>
      <c r="C57" s="21" t="s">
        <v>176</v>
      </c>
      <c r="D57" s="22" t="s">
        <v>177</v>
      </c>
      <c r="E57" s="23">
        <v>410</v>
      </c>
      <c r="F57" s="24" t="s">
        <v>91</v>
      </c>
      <c r="G57" s="25">
        <f t="shared" si="31"/>
        <v>16000000</v>
      </c>
      <c r="H57" s="36"/>
      <c r="I57" s="36"/>
      <c r="J57" s="36"/>
      <c r="K57" s="36"/>
      <c r="L57" s="36"/>
      <c r="M57" s="36"/>
      <c r="N57" s="36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>
        <f>16000000</f>
        <v>16000000</v>
      </c>
      <c r="AB57" s="27">
        <f t="shared" si="1"/>
        <v>1</v>
      </c>
      <c r="AC57" s="25">
        <f t="shared" si="32"/>
        <v>16000000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>
        <f>+'[2]MARZO 2016 ULTIMO'!$AF$846</f>
        <v>16000000</v>
      </c>
      <c r="AX57" s="27">
        <f t="shared" si="3"/>
        <v>0</v>
      </c>
      <c r="AY57" s="25">
        <f t="shared" si="33"/>
        <v>0</v>
      </c>
      <c r="AZ57" s="25">
        <f t="shared" si="34"/>
        <v>0</v>
      </c>
      <c r="BA57" s="25">
        <f t="shared" si="34"/>
        <v>0</v>
      </c>
      <c r="BB57" s="25">
        <f t="shared" si="34"/>
        <v>0</v>
      </c>
      <c r="BC57" s="25">
        <f t="shared" si="61"/>
        <v>0</v>
      </c>
      <c r="BD57" s="25">
        <f t="shared" si="61"/>
        <v>0</v>
      </c>
      <c r="BE57" s="25">
        <f t="shared" si="61"/>
        <v>0</v>
      </c>
      <c r="BF57" s="25">
        <f t="shared" si="61"/>
        <v>0</v>
      </c>
      <c r="BG57" s="25">
        <f t="shared" si="61"/>
        <v>0</v>
      </c>
      <c r="BH57" s="25">
        <f t="shared" si="53"/>
        <v>0</v>
      </c>
      <c r="BI57" s="25">
        <f t="shared" si="62"/>
        <v>0</v>
      </c>
      <c r="BJ57" s="25">
        <f t="shared" si="62"/>
        <v>0</v>
      </c>
      <c r="BK57" s="25">
        <f t="shared" si="62"/>
        <v>0</v>
      </c>
      <c r="BL57" s="25">
        <f t="shared" si="62"/>
        <v>0</v>
      </c>
      <c r="BM57" s="25">
        <f t="shared" si="62"/>
        <v>0</v>
      </c>
      <c r="BN57" s="25">
        <f t="shared" si="62"/>
        <v>0</v>
      </c>
      <c r="BO57" s="25"/>
      <c r="BP57" s="25"/>
      <c r="BQ57" s="25">
        <f t="shared" si="47"/>
        <v>0</v>
      </c>
      <c r="BR57" s="25">
        <f t="shared" si="48"/>
        <v>0</v>
      </c>
      <c r="BS57" s="27">
        <f t="shared" si="10"/>
        <v>1</v>
      </c>
      <c r="BT57" s="25">
        <f t="shared" si="37"/>
        <v>16000000</v>
      </c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>
        <f>+'[6]JULIO 2016'!$H$1616</f>
        <v>16000000</v>
      </c>
      <c r="CO57" s="27">
        <f t="shared" si="12"/>
        <v>0</v>
      </c>
      <c r="CP57" s="25">
        <f t="shared" si="38"/>
        <v>0</v>
      </c>
      <c r="CQ57" s="25">
        <f t="shared" si="39"/>
        <v>0</v>
      </c>
      <c r="CR57" s="25">
        <f t="shared" si="39"/>
        <v>0</v>
      </c>
      <c r="CS57" s="25">
        <f t="shared" si="39"/>
        <v>0</v>
      </c>
      <c r="CT57" s="25">
        <f t="shared" si="39"/>
        <v>0</v>
      </c>
      <c r="CU57" s="25">
        <f t="shared" si="39"/>
        <v>0</v>
      </c>
      <c r="CV57" s="25">
        <f t="shared" si="39"/>
        <v>0</v>
      </c>
      <c r="CW57" s="25">
        <f t="shared" si="56"/>
        <v>0</v>
      </c>
      <c r="CX57" s="25">
        <f t="shared" si="56"/>
        <v>0</v>
      </c>
      <c r="CY57" s="25">
        <f t="shared" si="57"/>
        <v>0</v>
      </c>
      <c r="CZ57" s="25">
        <f t="shared" si="55"/>
        <v>0</v>
      </c>
      <c r="DA57" s="25">
        <f t="shared" si="55"/>
        <v>0</v>
      </c>
      <c r="DB57" s="25">
        <f t="shared" si="55"/>
        <v>0</v>
      </c>
      <c r="DC57" s="25">
        <f t="shared" si="58"/>
        <v>0</v>
      </c>
      <c r="DD57" s="25">
        <f t="shared" si="58"/>
        <v>0</v>
      </c>
      <c r="DE57" s="25">
        <f t="shared" si="58"/>
        <v>0</v>
      </c>
      <c r="DF57" s="25"/>
      <c r="DG57" s="25">
        <f t="shared" si="59"/>
        <v>0</v>
      </c>
      <c r="DH57" s="25">
        <f t="shared" si="54"/>
        <v>0</v>
      </c>
      <c r="DI57" s="25">
        <f t="shared" si="60"/>
        <v>0</v>
      </c>
    </row>
    <row r="58" spans="1:114" s="47" customFormat="1" ht="18" customHeight="1" thickBot="1" x14ac:dyDescent="0.3">
      <c r="A58" s="61"/>
      <c r="B58" s="195" t="s">
        <v>178</v>
      </c>
      <c r="C58" s="195"/>
      <c r="D58" s="195"/>
      <c r="E58" s="195"/>
      <c r="F58" s="62"/>
      <c r="G58" s="63">
        <f t="shared" ref="G58:Z58" si="63">SUM(G21:G57)</f>
        <v>5225565856</v>
      </c>
      <c r="H58" s="63">
        <f t="shared" si="63"/>
        <v>0</v>
      </c>
      <c r="I58" s="63">
        <f t="shared" si="63"/>
        <v>1563096695</v>
      </c>
      <c r="J58" s="63">
        <f t="shared" si="63"/>
        <v>0</v>
      </c>
      <c r="K58" s="63">
        <f t="shared" si="63"/>
        <v>0</v>
      </c>
      <c r="L58" s="63">
        <f t="shared" si="63"/>
        <v>74368590</v>
      </c>
      <c r="M58" s="63">
        <f t="shared" si="63"/>
        <v>0</v>
      </c>
      <c r="N58" s="63">
        <f t="shared" si="63"/>
        <v>0</v>
      </c>
      <c r="O58" s="63">
        <f t="shared" si="63"/>
        <v>0</v>
      </c>
      <c r="P58" s="63">
        <f t="shared" si="63"/>
        <v>0</v>
      </c>
      <c r="Q58" s="63">
        <f t="shared" si="63"/>
        <v>0</v>
      </c>
      <c r="R58" s="63">
        <f t="shared" si="63"/>
        <v>1802332849</v>
      </c>
      <c r="S58" s="63">
        <f t="shared" si="63"/>
        <v>387696735</v>
      </c>
      <c r="T58" s="63">
        <f t="shared" si="63"/>
        <v>0</v>
      </c>
      <c r="U58" s="63">
        <f t="shared" si="63"/>
        <v>1054833768</v>
      </c>
      <c r="V58" s="63">
        <f t="shared" si="63"/>
        <v>0</v>
      </c>
      <c r="W58" s="63">
        <f t="shared" si="63"/>
        <v>51295383</v>
      </c>
      <c r="X58" s="63">
        <f t="shared" si="63"/>
        <v>0</v>
      </c>
      <c r="Y58" s="63">
        <f t="shared" si="63"/>
        <v>204741836</v>
      </c>
      <c r="Z58" s="63">
        <f t="shared" si="63"/>
        <v>87200000</v>
      </c>
      <c r="AB58" s="45">
        <f t="shared" si="1"/>
        <v>0.903539422353421</v>
      </c>
      <c r="AC58" s="63">
        <f>SUM(AC21:AC57)</f>
        <v>4721504755</v>
      </c>
      <c r="AD58" s="63"/>
      <c r="AE58" s="63">
        <f t="shared" ref="AE58:AW58" si="64">SUM(AE21:AE57)</f>
        <v>0</v>
      </c>
      <c r="AF58" s="63">
        <f t="shared" si="64"/>
        <v>1545956457</v>
      </c>
      <c r="AG58" s="63">
        <f t="shared" si="64"/>
        <v>0</v>
      </c>
      <c r="AH58" s="63">
        <f t="shared" si="64"/>
        <v>0</v>
      </c>
      <c r="AI58" s="63">
        <f t="shared" si="64"/>
        <v>43061377</v>
      </c>
      <c r="AJ58" s="63">
        <f t="shared" si="64"/>
        <v>0</v>
      </c>
      <c r="AK58" s="63">
        <f t="shared" si="64"/>
        <v>0</v>
      </c>
      <c r="AL58" s="63">
        <f t="shared" si="64"/>
        <v>0</v>
      </c>
      <c r="AM58" s="63">
        <f t="shared" si="64"/>
        <v>0</v>
      </c>
      <c r="AN58" s="63">
        <f t="shared" si="64"/>
        <v>0</v>
      </c>
      <c r="AO58" s="63">
        <f t="shared" si="64"/>
        <v>1763057320</v>
      </c>
      <c r="AP58" s="63">
        <f t="shared" si="64"/>
        <v>304609464</v>
      </c>
      <c r="AQ58" s="63">
        <f t="shared" si="64"/>
        <v>0</v>
      </c>
      <c r="AR58" s="63">
        <f t="shared" si="64"/>
        <v>832240418</v>
      </c>
      <c r="AS58" s="63">
        <f t="shared" si="64"/>
        <v>0</v>
      </c>
      <c r="AT58" s="63">
        <f t="shared" si="64"/>
        <v>51295383</v>
      </c>
      <c r="AU58" s="63">
        <f t="shared" si="64"/>
        <v>0</v>
      </c>
      <c r="AV58" s="63">
        <f t="shared" si="64"/>
        <v>114321836</v>
      </c>
      <c r="AW58" s="63">
        <f t="shared" si="64"/>
        <v>66962500</v>
      </c>
      <c r="AX58" s="45">
        <f t="shared" si="3"/>
        <v>9.6460577646579004E-2</v>
      </c>
      <c r="AY58" s="63">
        <f t="shared" ref="AY58:BR58" si="65">SUM(AY21:AY57)</f>
        <v>504061101</v>
      </c>
      <c r="AZ58" s="63">
        <f t="shared" si="65"/>
        <v>0</v>
      </c>
      <c r="BA58" s="63">
        <f t="shared" si="65"/>
        <v>17140238</v>
      </c>
      <c r="BB58" s="63">
        <f t="shared" si="65"/>
        <v>0</v>
      </c>
      <c r="BC58" s="63">
        <f t="shared" si="65"/>
        <v>0</v>
      </c>
      <c r="BD58" s="63">
        <f t="shared" si="65"/>
        <v>31307213</v>
      </c>
      <c r="BE58" s="63">
        <f t="shared" si="65"/>
        <v>0</v>
      </c>
      <c r="BF58" s="63">
        <f t="shared" si="65"/>
        <v>0</v>
      </c>
      <c r="BG58" s="63">
        <f t="shared" si="65"/>
        <v>0</v>
      </c>
      <c r="BH58" s="63">
        <f t="shared" si="65"/>
        <v>0</v>
      </c>
      <c r="BI58" s="63">
        <f t="shared" si="65"/>
        <v>0</v>
      </c>
      <c r="BJ58" s="63">
        <f t="shared" si="65"/>
        <v>39275529</v>
      </c>
      <c r="BK58" s="63">
        <f t="shared" si="65"/>
        <v>83087271</v>
      </c>
      <c r="BL58" s="63">
        <f t="shared" si="65"/>
        <v>0</v>
      </c>
      <c r="BM58" s="63">
        <f t="shared" si="65"/>
        <v>222593350</v>
      </c>
      <c r="BN58" s="63">
        <f t="shared" si="65"/>
        <v>0</v>
      </c>
      <c r="BO58" s="63">
        <f t="shared" si="65"/>
        <v>0</v>
      </c>
      <c r="BP58" s="63">
        <f t="shared" si="65"/>
        <v>0</v>
      </c>
      <c r="BQ58" s="63">
        <f t="shared" si="65"/>
        <v>90420000</v>
      </c>
      <c r="BR58" s="63">
        <f t="shared" si="65"/>
        <v>20237500</v>
      </c>
      <c r="BS58" s="45">
        <f t="shared" si="10"/>
        <v>0.58793228114662577</v>
      </c>
      <c r="BT58" s="63">
        <f t="shared" ref="BT58:DI58" si="66">SUM(BT21:BT57)</f>
        <v>3072278854</v>
      </c>
      <c r="BU58" s="63">
        <f t="shared" si="66"/>
        <v>0</v>
      </c>
      <c r="BV58" s="63">
        <f t="shared" si="66"/>
        <v>0</v>
      </c>
      <c r="BW58" s="63">
        <f t="shared" si="66"/>
        <v>824157050</v>
      </c>
      <c r="BX58" s="63">
        <f t="shared" si="66"/>
        <v>0</v>
      </c>
      <c r="BY58" s="63">
        <f t="shared" si="66"/>
        <v>0</v>
      </c>
      <c r="BZ58" s="63">
        <f t="shared" si="66"/>
        <v>35500000</v>
      </c>
      <c r="CA58" s="63">
        <f t="shared" si="66"/>
        <v>0</v>
      </c>
      <c r="CB58" s="63">
        <f t="shared" si="66"/>
        <v>0</v>
      </c>
      <c r="CC58" s="63">
        <f t="shared" si="66"/>
        <v>0</v>
      </c>
      <c r="CD58" s="63">
        <f t="shared" si="66"/>
        <v>0</v>
      </c>
      <c r="CE58" s="63">
        <f t="shared" si="66"/>
        <v>0</v>
      </c>
      <c r="CF58" s="63">
        <f t="shared" si="66"/>
        <v>1085446388</v>
      </c>
      <c r="CG58" s="63">
        <f t="shared" si="66"/>
        <v>280642464</v>
      </c>
      <c r="CH58" s="63">
        <f t="shared" si="66"/>
        <v>0</v>
      </c>
      <c r="CI58" s="63">
        <f t="shared" si="66"/>
        <v>766242889</v>
      </c>
      <c r="CJ58" s="63">
        <f t="shared" si="66"/>
        <v>0</v>
      </c>
      <c r="CK58" s="63">
        <f t="shared" si="66"/>
        <v>0</v>
      </c>
      <c r="CL58" s="63">
        <f t="shared" si="66"/>
        <v>0</v>
      </c>
      <c r="CM58" s="63">
        <f t="shared" si="66"/>
        <v>23350298</v>
      </c>
      <c r="CN58" s="63">
        <f t="shared" si="66"/>
        <v>56939765</v>
      </c>
      <c r="CO58" s="63" t="e">
        <f t="shared" si="66"/>
        <v>#DIV/0!</v>
      </c>
      <c r="CP58" s="63">
        <f t="shared" si="66"/>
        <v>2153287002</v>
      </c>
      <c r="CQ58" s="63">
        <f t="shared" si="66"/>
        <v>0</v>
      </c>
      <c r="CR58" s="63">
        <f t="shared" si="66"/>
        <v>738939645</v>
      </c>
      <c r="CS58" s="63">
        <f t="shared" si="66"/>
        <v>0</v>
      </c>
      <c r="CT58" s="63">
        <f t="shared" si="66"/>
        <v>0</v>
      </c>
      <c r="CU58" s="63">
        <f t="shared" si="66"/>
        <v>38868590</v>
      </c>
      <c r="CV58" s="63">
        <f t="shared" si="66"/>
        <v>0</v>
      </c>
      <c r="CW58" s="63">
        <f t="shared" si="66"/>
        <v>0</v>
      </c>
      <c r="CX58" s="63">
        <f t="shared" si="66"/>
        <v>0</v>
      </c>
      <c r="CY58" s="63">
        <f t="shared" si="66"/>
        <v>0</v>
      </c>
      <c r="CZ58" s="63">
        <f t="shared" si="66"/>
        <v>0</v>
      </c>
      <c r="DA58" s="63">
        <f t="shared" si="66"/>
        <v>716886461</v>
      </c>
      <c r="DB58" s="63">
        <f t="shared" si="66"/>
        <v>107054271</v>
      </c>
      <c r="DC58" s="63">
        <f t="shared" si="66"/>
        <v>0</v>
      </c>
      <c r="DD58" s="63">
        <f t="shared" si="66"/>
        <v>288590879</v>
      </c>
      <c r="DE58" s="63">
        <f t="shared" si="66"/>
        <v>0</v>
      </c>
      <c r="DF58" s="63">
        <f t="shared" si="66"/>
        <v>51295383</v>
      </c>
      <c r="DG58" s="63">
        <f t="shared" si="66"/>
        <v>0</v>
      </c>
      <c r="DH58" s="63">
        <f t="shared" si="66"/>
        <v>181391538</v>
      </c>
      <c r="DI58" s="64">
        <f t="shared" si="66"/>
        <v>30260235</v>
      </c>
    </row>
    <row r="59" spans="1:114" ht="55.5" customHeight="1" thickTop="1" x14ac:dyDescent="0.25">
      <c r="A59" s="183" t="s">
        <v>179</v>
      </c>
      <c r="B59" s="186" t="s">
        <v>180</v>
      </c>
      <c r="C59" s="21" t="s">
        <v>181</v>
      </c>
      <c r="D59" s="22" t="s">
        <v>182</v>
      </c>
      <c r="E59" s="23">
        <v>520</v>
      </c>
      <c r="F59" s="24" t="s">
        <v>183</v>
      </c>
      <c r="G59" s="25">
        <f t="shared" ref="G59:G90" si="67">SUM(H59:Z59)</f>
        <v>109184357</v>
      </c>
      <c r="H59" s="25"/>
      <c r="I59" s="25"/>
      <c r="J59" s="25"/>
      <c r="K59" s="25"/>
      <c r="L59" s="25">
        <f>50000000</f>
        <v>50000000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>
        <f>50000000+8000000+1184357</f>
        <v>59184357</v>
      </c>
      <c r="AB59" s="27">
        <f t="shared" si="1"/>
        <v>0.88827318917122899</v>
      </c>
      <c r="AC59" s="25">
        <f t="shared" ref="AC59:AC90" si="68">SUM(AD59:AW59)</f>
        <v>96985537</v>
      </c>
      <c r="AD59" s="25"/>
      <c r="AE59" s="25"/>
      <c r="AF59" s="25"/>
      <c r="AG59" s="25"/>
      <c r="AH59" s="25"/>
      <c r="AI59" s="25">
        <f>+'[1]AGOSTO 2016'!$P$2531</f>
        <v>49214507</v>
      </c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>
        <f>+'[1]AGOSTO 2016'!$AG$2531</f>
        <v>47771030</v>
      </c>
      <c r="AX59" s="27">
        <f t="shared" si="3"/>
        <v>0.11172681082877101</v>
      </c>
      <c r="AY59" s="25">
        <f t="shared" ref="AY59:AY90" si="69">SUM(AZ59:BR59)</f>
        <v>12198820</v>
      </c>
      <c r="AZ59" s="25">
        <f t="shared" ref="AZ59:BN90" si="70">H59-AE59</f>
        <v>0</v>
      </c>
      <c r="BA59" s="25">
        <f t="shared" si="70"/>
        <v>0</v>
      </c>
      <c r="BB59" s="25">
        <f t="shared" si="70"/>
        <v>0</v>
      </c>
      <c r="BC59" s="25">
        <f t="shared" ref="BC59:BN68" si="71">+K59-AH59</f>
        <v>0</v>
      </c>
      <c r="BD59" s="25">
        <f t="shared" si="71"/>
        <v>785493</v>
      </c>
      <c r="BE59" s="25">
        <f t="shared" si="71"/>
        <v>0</v>
      </c>
      <c r="BF59" s="25">
        <f t="shared" si="71"/>
        <v>0</v>
      </c>
      <c r="BG59" s="25">
        <f t="shared" si="71"/>
        <v>0</v>
      </c>
      <c r="BH59" s="25">
        <f t="shared" si="71"/>
        <v>0</v>
      </c>
      <c r="BI59" s="25">
        <f t="shared" si="71"/>
        <v>0</v>
      </c>
      <c r="BJ59" s="25">
        <f t="shared" si="71"/>
        <v>0</v>
      </c>
      <c r="BK59" s="25">
        <f t="shared" si="71"/>
        <v>0</v>
      </c>
      <c r="BL59" s="25">
        <f t="shared" si="71"/>
        <v>0</v>
      </c>
      <c r="BM59" s="25">
        <f t="shared" si="71"/>
        <v>0</v>
      </c>
      <c r="BN59" s="25">
        <f t="shared" si="71"/>
        <v>0</v>
      </c>
      <c r="BO59" s="25"/>
      <c r="BP59" s="25"/>
      <c r="BQ59" s="25">
        <f t="shared" ref="BQ59:BQ90" si="72">Y59-AV59</f>
        <v>0</v>
      </c>
      <c r="BR59" s="25">
        <f t="shared" ref="BR59:BR68" si="73">+Z59-AW59</f>
        <v>11413327</v>
      </c>
      <c r="BS59" s="27">
        <f t="shared" si="10"/>
        <v>0.88827318917122899</v>
      </c>
      <c r="BT59" s="25">
        <f t="shared" ref="BT59:BT90" si="74">SUM(BU59:CN59)</f>
        <v>96985537</v>
      </c>
      <c r="BU59" s="25"/>
      <c r="BV59" s="25"/>
      <c r="BW59" s="25"/>
      <c r="BX59" s="25"/>
      <c r="BY59" s="25"/>
      <c r="BZ59" s="25">
        <f>+'[1]AGOSTO 2016'!$P$2531</f>
        <v>49214507</v>
      </c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>
        <f>+'[1]AGOSTO 2016'!$AG$2531</f>
        <v>47771030</v>
      </c>
      <c r="CO59" s="27">
        <f t="shared" ref="CO59:CO91" si="75">1-BS59</f>
        <v>0.11172681082877101</v>
      </c>
      <c r="CP59" s="25">
        <f t="shared" ref="CP59:CP90" si="76">SUM(CQ59:DI59)</f>
        <v>12198820</v>
      </c>
      <c r="CQ59" s="25">
        <f t="shared" ref="CQ59:CY74" si="77">H59-BV59</f>
        <v>0</v>
      </c>
      <c r="CR59" s="25">
        <f t="shared" si="77"/>
        <v>0</v>
      </c>
      <c r="CS59" s="25">
        <f t="shared" si="77"/>
        <v>0</v>
      </c>
      <c r="CT59" s="25">
        <f t="shared" si="77"/>
        <v>0</v>
      </c>
      <c r="CU59" s="25">
        <f t="shared" si="77"/>
        <v>785493</v>
      </c>
      <c r="CV59" s="25">
        <f t="shared" si="77"/>
        <v>0</v>
      </c>
      <c r="CW59" s="25">
        <f t="shared" ref="CW59:CY68" si="78">+N59-CB59</f>
        <v>0</v>
      </c>
      <c r="CX59" s="25">
        <f t="shared" si="78"/>
        <v>0</v>
      </c>
      <c r="CY59" s="25">
        <f t="shared" si="78"/>
        <v>0</v>
      </c>
      <c r="CZ59" s="25">
        <f t="shared" ref="CZ59:DE89" si="79">Q59-CE59</f>
        <v>0</v>
      </c>
      <c r="DA59" s="25">
        <f t="shared" si="79"/>
        <v>0</v>
      </c>
      <c r="DB59" s="25">
        <f t="shared" si="79"/>
        <v>0</v>
      </c>
      <c r="DC59" s="25">
        <f t="shared" ref="DC59:DE68" si="80">+T59-CH59</f>
        <v>0</v>
      </c>
      <c r="DD59" s="25">
        <f t="shared" si="80"/>
        <v>0</v>
      </c>
      <c r="DE59" s="25">
        <f t="shared" si="80"/>
        <v>0</v>
      </c>
      <c r="DF59" s="25"/>
      <c r="DG59" s="25">
        <f t="shared" ref="DG59:DI68" si="81">+X59-CL59</f>
        <v>0</v>
      </c>
      <c r="DH59" s="56">
        <f t="shared" si="81"/>
        <v>0</v>
      </c>
      <c r="DI59" s="25">
        <f t="shared" si="81"/>
        <v>11413327</v>
      </c>
    </row>
    <row r="60" spans="1:114" ht="35.25" customHeight="1" x14ac:dyDescent="0.25">
      <c r="A60" s="184"/>
      <c r="B60" s="187"/>
      <c r="C60" s="21" t="s">
        <v>184</v>
      </c>
      <c r="D60" s="22" t="s">
        <v>185</v>
      </c>
      <c r="E60" s="23">
        <v>520</v>
      </c>
      <c r="F60" s="24" t="s">
        <v>186</v>
      </c>
      <c r="G60" s="25">
        <f t="shared" si="67"/>
        <v>4000000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>
        <f>2000000+2000000</f>
        <v>4000000</v>
      </c>
      <c r="AB60" s="27">
        <f t="shared" si="1"/>
        <v>0.25</v>
      </c>
      <c r="AC60" s="25">
        <f t="shared" si="68"/>
        <v>1000000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>
        <f>+'[3]ABRIL 2016'!$G$1362</f>
        <v>1000000</v>
      </c>
      <c r="AX60" s="27">
        <f t="shared" si="3"/>
        <v>0.75</v>
      </c>
      <c r="AY60" s="25">
        <f t="shared" si="69"/>
        <v>3000000</v>
      </c>
      <c r="AZ60" s="25">
        <f t="shared" si="70"/>
        <v>0</v>
      </c>
      <c r="BA60" s="25">
        <f t="shared" si="70"/>
        <v>0</v>
      </c>
      <c r="BB60" s="25">
        <f t="shared" si="70"/>
        <v>0</v>
      </c>
      <c r="BC60" s="25">
        <f t="shared" si="71"/>
        <v>0</v>
      </c>
      <c r="BD60" s="25">
        <f t="shared" si="71"/>
        <v>0</v>
      </c>
      <c r="BE60" s="25">
        <f t="shared" si="71"/>
        <v>0</v>
      </c>
      <c r="BF60" s="25">
        <f t="shared" si="71"/>
        <v>0</v>
      </c>
      <c r="BG60" s="25">
        <f t="shared" si="71"/>
        <v>0</v>
      </c>
      <c r="BH60" s="25">
        <f t="shared" si="71"/>
        <v>0</v>
      </c>
      <c r="BI60" s="25">
        <f t="shared" si="71"/>
        <v>0</v>
      </c>
      <c r="BJ60" s="25">
        <f t="shared" si="71"/>
        <v>0</v>
      </c>
      <c r="BK60" s="25">
        <f t="shared" si="71"/>
        <v>0</v>
      </c>
      <c r="BL60" s="25">
        <f t="shared" si="71"/>
        <v>0</v>
      </c>
      <c r="BM60" s="25">
        <f t="shared" si="71"/>
        <v>0</v>
      </c>
      <c r="BN60" s="25">
        <f t="shared" si="71"/>
        <v>0</v>
      </c>
      <c r="BO60" s="25"/>
      <c r="BP60" s="25"/>
      <c r="BQ60" s="25">
        <f t="shared" si="72"/>
        <v>0</v>
      </c>
      <c r="BR60" s="25">
        <f t="shared" si="73"/>
        <v>3000000</v>
      </c>
      <c r="BS60" s="27">
        <f t="shared" si="10"/>
        <v>0.25</v>
      </c>
      <c r="BT60" s="25">
        <f t="shared" si="74"/>
        <v>1000000</v>
      </c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>
        <f>+'[3]ABRIL 2016'!$H$1359</f>
        <v>1000000</v>
      </c>
      <c r="CO60" s="27">
        <f t="shared" si="75"/>
        <v>0.75</v>
      </c>
      <c r="CP60" s="25">
        <f t="shared" si="76"/>
        <v>3000000</v>
      </c>
      <c r="CQ60" s="25">
        <f t="shared" si="77"/>
        <v>0</v>
      </c>
      <c r="CR60" s="25">
        <f t="shared" si="77"/>
        <v>0</v>
      </c>
      <c r="CS60" s="25">
        <f t="shared" si="77"/>
        <v>0</v>
      </c>
      <c r="CT60" s="25">
        <f t="shared" si="77"/>
        <v>0</v>
      </c>
      <c r="CU60" s="25">
        <f t="shared" si="77"/>
        <v>0</v>
      </c>
      <c r="CV60" s="25">
        <f t="shared" si="77"/>
        <v>0</v>
      </c>
      <c r="CW60" s="25">
        <f t="shared" si="78"/>
        <v>0</v>
      </c>
      <c r="CX60" s="25">
        <f t="shared" si="78"/>
        <v>0</v>
      </c>
      <c r="CY60" s="25">
        <f t="shared" si="78"/>
        <v>0</v>
      </c>
      <c r="CZ60" s="25">
        <f t="shared" si="79"/>
        <v>0</v>
      </c>
      <c r="DA60" s="25">
        <f t="shared" si="79"/>
        <v>0</v>
      </c>
      <c r="DB60" s="25">
        <f t="shared" si="79"/>
        <v>0</v>
      </c>
      <c r="DC60" s="25">
        <f t="shared" si="80"/>
        <v>0</v>
      </c>
      <c r="DD60" s="25">
        <f t="shared" si="80"/>
        <v>0</v>
      </c>
      <c r="DE60" s="25">
        <f t="shared" si="80"/>
        <v>0</v>
      </c>
      <c r="DF60" s="25"/>
      <c r="DG60" s="25">
        <f t="shared" si="81"/>
        <v>0</v>
      </c>
      <c r="DH60" s="56">
        <f t="shared" si="81"/>
        <v>0</v>
      </c>
      <c r="DI60" s="25">
        <f t="shared" si="81"/>
        <v>3000000</v>
      </c>
    </row>
    <row r="61" spans="1:114" ht="36.75" customHeight="1" x14ac:dyDescent="0.25">
      <c r="A61" s="184"/>
      <c r="B61" s="188"/>
      <c r="C61" s="21" t="s">
        <v>187</v>
      </c>
      <c r="D61" s="22" t="s">
        <v>188</v>
      </c>
      <c r="E61" s="23">
        <v>520</v>
      </c>
      <c r="F61" s="24" t="s">
        <v>76</v>
      </c>
      <c r="G61" s="25">
        <f t="shared" si="67"/>
        <v>3000000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3000000</v>
      </c>
      <c r="AB61" s="27">
        <f t="shared" si="1"/>
        <v>1</v>
      </c>
      <c r="AC61" s="25">
        <f t="shared" si="68"/>
        <v>3000000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>
        <f>+'[7]JUNIO 2016'!$G$1784</f>
        <v>3000000</v>
      </c>
      <c r="AX61" s="27">
        <f t="shared" si="3"/>
        <v>0</v>
      </c>
      <c r="AY61" s="25">
        <f t="shared" si="69"/>
        <v>0</v>
      </c>
      <c r="AZ61" s="25">
        <f t="shared" si="70"/>
        <v>0</v>
      </c>
      <c r="BA61" s="25">
        <f t="shared" si="70"/>
        <v>0</v>
      </c>
      <c r="BB61" s="25">
        <f t="shared" si="70"/>
        <v>0</v>
      </c>
      <c r="BC61" s="25">
        <f t="shared" si="71"/>
        <v>0</v>
      </c>
      <c r="BD61" s="25">
        <f t="shared" si="71"/>
        <v>0</v>
      </c>
      <c r="BE61" s="25">
        <f t="shared" si="71"/>
        <v>0</v>
      </c>
      <c r="BF61" s="25">
        <f t="shared" si="71"/>
        <v>0</v>
      </c>
      <c r="BG61" s="25">
        <f t="shared" si="71"/>
        <v>0</v>
      </c>
      <c r="BH61" s="25">
        <f t="shared" si="71"/>
        <v>0</v>
      </c>
      <c r="BI61" s="25">
        <f t="shared" si="71"/>
        <v>0</v>
      </c>
      <c r="BJ61" s="25">
        <f t="shared" si="71"/>
        <v>0</v>
      </c>
      <c r="BK61" s="25">
        <f t="shared" si="71"/>
        <v>0</v>
      </c>
      <c r="BL61" s="25">
        <f t="shared" si="71"/>
        <v>0</v>
      </c>
      <c r="BM61" s="25">
        <f t="shared" si="71"/>
        <v>0</v>
      </c>
      <c r="BN61" s="25">
        <f t="shared" si="71"/>
        <v>0</v>
      </c>
      <c r="BO61" s="25"/>
      <c r="BP61" s="25"/>
      <c r="BQ61" s="25">
        <f t="shared" si="72"/>
        <v>0</v>
      </c>
      <c r="BR61" s="25">
        <f t="shared" si="73"/>
        <v>0</v>
      </c>
      <c r="BS61" s="27">
        <f t="shared" si="10"/>
        <v>1</v>
      </c>
      <c r="BT61" s="25">
        <f t="shared" si="74"/>
        <v>3000000</v>
      </c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>
        <f>+'[7]JUNIO 2016'!$H$1784</f>
        <v>3000000</v>
      </c>
      <c r="CO61" s="27">
        <f t="shared" si="75"/>
        <v>0</v>
      </c>
      <c r="CP61" s="25">
        <f t="shared" si="76"/>
        <v>0</v>
      </c>
      <c r="CQ61" s="25">
        <f t="shared" si="77"/>
        <v>0</v>
      </c>
      <c r="CR61" s="25">
        <f t="shared" si="77"/>
        <v>0</v>
      </c>
      <c r="CS61" s="25">
        <f t="shared" si="77"/>
        <v>0</v>
      </c>
      <c r="CT61" s="25">
        <f t="shared" si="77"/>
        <v>0</v>
      </c>
      <c r="CU61" s="25">
        <f t="shared" si="77"/>
        <v>0</v>
      </c>
      <c r="CV61" s="25">
        <f t="shared" si="77"/>
        <v>0</v>
      </c>
      <c r="CW61" s="25">
        <f t="shared" si="78"/>
        <v>0</v>
      </c>
      <c r="CX61" s="25">
        <f t="shared" si="78"/>
        <v>0</v>
      </c>
      <c r="CY61" s="25">
        <f t="shared" si="78"/>
        <v>0</v>
      </c>
      <c r="CZ61" s="25">
        <f t="shared" si="79"/>
        <v>0</v>
      </c>
      <c r="DA61" s="25">
        <f t="shared" si="79"/>
        <v>0</v>
      </c>
      <c r="DB61" s="25">
        <f t="shared" si="79"/>
        <v>0</v>
      </c>
      <c r="DC61" s="25">
        <f t="shared" si="80"/>
        <v>0</v>
      </c>
      <c r="DD61" s="25">
        <f t="shared" si="80"/>
        <v>0</v>
      </c>
      <c r="DE61" s="25">
        <f t="shared" si="80"/>
        <v>0</v>
      </c>
      <c r="DF61" s="25"/>
      <c r="DG61" s="25">
        <f t="shared" si="81"/>
        <v>0</v>
      </c>
      <c r="DH61" s="56">
        <f t="shared" si="81"/>
        <v>0</v>
      </c>
      <c r="DI61" s="25">
        <f t="shared" si="81"/>
        <v>0</v>
      </c>
    </row>
    <row r="62" spans="1:114" ht="34.5" customHeight="1" x14ac:dyDescent="0.25">
      <c r="A62" s="184"/>
      <c r="B62" s="65" t="s">
        <v>189</v>
      </c>
      <c r="C62" s="21" t="s">
        <v>190</v>
      </c>
      <c r="D62" s="22" t="s">
        <v>191</v>
      </c>
      <c r="E62" s="23">
        <v>520</v>
      </c>
      <c r="F62" s="24" t="s">
        <v>91</v>
      </c>
      <c r="G62" s="25">
        <f t="shared" si="67"/>
        <v>20000000</v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>
        <v>20000000</v>
      </c>
      <c r="T62" s="25"/>
      <c r="U62" s="25"/>
      <c r="V62" s="25"/>
      <c r="W62" s="25"/>
      <c r="X62" s="25"/>
      <c r="Y62" s="25"/>
      <c r="Z62" s="25"/>
      <c r="AB62" s="27">
        <f t="shared" si="1"/>
        <v>0.84190584999999996</v>
      </c>
      <c r="AC62" s="25">
        <f t="shared" si="68"/>
        <v>16838117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>
        <f>+'[8]MAYO 2016'!$W$1566</f>
        <v>16838117</v>
      </c>
      <c r="AQ62" s="25"/>
      <c r="AR62" s="25"/>
      <c r="AS62" s="25"/>
      <c r="AT62" s="25"/>
      <c r="AU62" s="25"/>
      <c r="AV62" s="25"/>
      <c r="AW62" s="25"/>
      <c r="AX62" s="27">
        <f t="shared" si="3"/>
        <v>0.15809415000000004</v>
      </c>
      <c r="AY62" s="25">
        <f t="shared" si="69"/>
        <v>3161883</v>
      </c>
      <c r="AZ62" s="25">
        <f t="shared" si="70"/>
        <v>0</v>
      </c>
      <c r="BA62" s="25">
        <f t="shared" si="70"/>
        <v>0</v>
      </c>
      <c r="BB62" s="25">
        <f t="shared" si="70"/>
        <v>0</v>
      </c>
      <c r="BC62" s="25">
        <f t="shared" si="71"/>
        <v>0</v>
      </c>
      <c r="BD62" s="25">
        <f t="shared" si="71"/>
        <v>0</v>
      </c>
      <c r="BE62" s="25">
        <f t="shared" si="71"/>
        <v>0</v>
      </c>
      <c r="BF62" s="25">
        <f t="shared" si="71"/>
        <v>0</v>
      </c>
      <c r="BG62" s="25">
        <f t="shared" si="71"/>
        <v>0</v>
      </c>
      <c r="BH62" s="25">
        <f t="shared" si="71"/>
        <v>0</v>
      </c>
      <c r="BI62" s="25">
        <f t="shared" si="71"/>
        <v>0</v>
      </c>
      <c r="BJ62" s="25">
        <f t="shared" si="71"/>
        <v>0</v>
      </c>
      <c r="BK62" s="25">
        <f t="shared" si="71"/>
        <v>3161883</v>
      </c>
      <c r="BL62" s="25">
        <f t="shared" si="71"/>
        <v>0</v>
      </c>
      <c r="BM62" s="25">
        <f t="shared" si="71"/>
        <v>0</v>
      </c>
      <c r="BN62" s="25">
        <f t="shared" si="71"/>
        <v>0</v>
      </c>
      <c r="BO62" s="25"/>
      <c r="BP62" s="25">
        <f>+X62-AU62</f>
        <v>0</v>
      </c>
      <c r="BQ62" s="25">
        <f t="shared" si="72"/>
        <v>0</v>
      </c>
      <c r="BR62" s="25">
        <f t="shared" si="73"/>
        <v>0</v>
      </c>
      <c r="BS62" s="27">
        <f t="shared" si="10"/>
        <v>0.8307021</v>
      </c>
      <c r="BT62" s="25">
        <f t="shared" si="74"/>
        <v>16614042</v>
      </c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>
        <f>+'[7]JUNIO 2016'!$H$1796</f>
        <v>16614042</v>
      </c>
      <c r="CH62" s="25"/>
      <c r="CI62" s="25"/>
      <c r="CJ62" s="25"/>
      <c r="CK62" s="25"/>
      <c r="CL62" s="25"/>
      <c r="CM62" s="25"/>
      <c r="CN62" s="25"/>
      <c r="CO62" s="27">
        <f t="shared" si="75"/>
        <v>0.1692979</v>
      </c>
      <c r="CP62" s="25">
        <f t="shared" si="76"/>
        <v>3385958</v>
      </c>
      <c r="CQ62" s="25">
        <f t="shared" si="77"/>
        <v>0</v>
      </c>
      <c r="CR62" s="25">
        <f t="shared" si="77"/>
        <v>0</v>
      </c>
      <c r="CS62" s="25">
        <f t="shared" si="77"/>
        <v>0</v>
      </c>
      <c r="CT62" s="25">
        <f t="shared" si="77"/>
        <v>0</v>
      </c>
      <c r="CU62" s="25">
        <f t="shared" si="77"/>
        <v>0</v>
      </c>
      <c r="CV62" s="25">
        <f t="shared" si="77"/>
        <v>0</v>
      </c>
      <c r="CW62" s="25">
        <f t="shared" si="78"/>
        <v>0</v>
      </c>
      <c r="CX62" s="25">
        <f t="shared" si="78"/>
        <v>0</v>
      </c>
      <c r="CY62" s="25">
        <f t="shared" si="78"/>
        <v>0</v>
      </c>
      <c r="CZ62" s="25">
        <f t="shared" si="79"/>
        <v>0</v>
      </c>
      <c r="DA62" s="25">
        <f t="shared" si="79"/>
        <v>0</v>
      </c>
      <c r="DB62" s="25">
        <f t="shared" si="79"/>
        <v>3385958</v>
      </c>
      <c r="DC62" s="25">
        <f t="shared" si="80"/>
        <v>0</v>
      </c>
      <c r="DD62" s="25">
        <f t="shared" si="80"/>
        <v>0</v>
      </c>
      <c r="DE62" s="25">
        <f t="shared" si="80"/>
        <v>0</v>
      </c>
      <c r="DF62" s="25"/>
      <c r="DG62" s="25">
        <f t="shared" si="81"/>
        <v>0</v>
      </c>
      <c r="DH62" s="56">
        <f t="shared" si="81"/>
        <v>0</v>
      </c>
      <c r="DI62" s="25">
        <f t="shared" si="81"/>
        <v>0</v>
      </c>
    </row>
    <row r="63" spans="1:114" ht="36.75" customHeight="1" x14ac:dyDescent="0.25">
      <c r="A63" s="184"/>
      <c r="B63" s="186" t="s">
        <v>192</v>
      </c>
      <c r="C63" s="21" t="s">
        <v>193</v>
      </c>
      <c r="D63" s="22" t="s">
        <v>194</v>
      </c>
      <c r="E63" s="23">
        <v>520</v>
      </c>
      <c r="F63" s="24" t="s">
        <v>91</v>
      </c>
      <c r="G63" s="25">
        <f t="shared" si="67"/>
        <v>115000000</v>
      </c>
      <c r="H63" s="36"/>
      <c r="I63" s="36"/>
      <c r="J63" s="36"/>
      <c r="K63" s="25">
        <f>228450721-133450721</f>
        <v>95000000</v>
      </c>
      <c r="L63" s="25"/>
      <c r="M63" s="25"/>
      <c r="N63" s="25"/>
      <c r="O63" s="25"/>
      <c r="P63" s="25"/>
      <c r="Q63" s="25"/>
      <c r="R63" s="25"/>
      <c r="S63" s="25">
        <f>20000000</f>
        <v>20000000</v>
      </c>
      <c r="T63" s="25"/>
      <c r="U63" s="25"/>
      <c r="V63" s="25"/>
      <c r="W63" s="25"/>
      <c r="X63" s="25"/>
      <c r="Y63" s="25"/>
      <c r="Z63" s="25"/>
      <c r="AB63" s="27">
        <f t="shared" si="1"/>
        <v>0.41107339130434783</v>
      </c>
      <c r="AC63" s="25">
        <f t="shared" si="68"/>
        <v>47273440</v>
      </c>
      <c r="AD63" s="25"/>
      <c r="AE63" s="25"/>
      <c r="AF63" s="25"/>
      <c r="AG63" s="25"/>
      <c r="AH63" s="25">
        <f>+'[7]JUNIO 2016'!$O$1825</f>
        <v>47273440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7">
        <f t="shared" si="3"/>
        <v>0.58892660869565217</v>
      </c>
      <c r="AY63" s="25">
        <f t="shared" si="69"/>
        <v>67726560</v>
      </c>
      <c r="AZ63" s="25">
        <f t="shared" si="70"/>
        <v>0</v>
      </c>
      <c r="BA63" s="25">
        <f t="shared" si="70"/>
        <v>0</v>
      </c>
      <c r="BB63" s="25">
        <f t="shared" si="70"/>
        <v>0</v>
      </c>
      <c r="BC63" s="25">
        <f t="shared" si="71"/>
        <v>47726560</v>
      </c>
      <c r="BD63" s="25">
        <f t="shared" si="71"/>
        <v>0</v>
      </c>
      <c r="BE63" s="25">
        <f t="shared" si="71"/>
        <v>0</v>
      </c>
      <c r="BF63" s="25">
        <f>N63-AK63</f>
        <v>0</v>
      </c>
      <c r="BG63" s="25">
        <f t="shared" si="71"/>
        <v>0</v>
      </c>
      <c r="BH63" s="25">
        <f t="shared" si="71"/>
        <v>0</v>
      </c>
      <c r="BI63" s="25">
        <f t="shared" si="71"/>
        <v>0</v>
      </c>
      <c r="BJ63" s="25">
        <f t="shared" si="71"/>
        <v>0</v>
      </c>
      <c r="BK63" s="25">
        <f t="shared" si="71"/>
        <v>20000000</v>
      </c>
      <c r="BL63" s="25">
        <f>T63-AQ63</f>
        <v>0</v>
      </c>
      <c r="BM63" s="25">
        <f t="shared" si="71"/>
        <v>0</v>
      </c>
      <c r="BN63" s="25">
        <f t="shared" si="71"/>
        <v>0</v>
      </c>
      <c r="BO63" s="25"/>
      <c r="BP63" s="25"/>
      <c r="BQ63" s="25">
        <f t="shared" si="72"/>
        <v>0</v>
      </c>
      <c r="BR63" s="25">
        <f t="shared" si="73"/>
        <v>0</v>
      </c>
      <c r="BS63" s="27">
        <f t="shared" si="10"/>
        <v>0.4082608695652174</v>
      </c>
      <c r="BT63" s="25">
        <f t="shared" si="74"/>
        <v>46950000</v>
      </c>
      <c r="BU63" s="25"/>
      <c r="BV63" s="25"/>
      <c r="BW63" s="25"/>
      <c r="BX63" s="25"/>
      <c r="BY63" s="25">
        <f>+'[6]JULIO 2016'!$H$2016</f>
        <v>46950000</v>
      </c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7">
        <f t="shared" si="75"/>
        <v>0.59173913043478255</v>
      </c>
      <c r="CP63" s="25">
        <f t="shared" si="76"/>
        <v>68050000</v>
      </c>
      <c r="CQ63" s="25">
        <f t="shared" si="77"/>
        <v>0</v>
      </c>
      <c r="CR63" s="25">
        <f t="shared" si="77"/>
        <v>0</v>
      </c>
      <c r="CS63" s="25">
        <f t="shared" si="77"/>
        <v>0</v>
      </c>
      <c r="CT63" s="25">
        <f t="shared" si="77"/>
        <v>48050000</v>
      </c>
      <c r="CU63" s="25">
        <f t="shared" si="77"/>
        <v>0</v>
      </c>
      <c r="CV63" s="25">
        <f t="shared" si="77"/>
        <v>0</v>
      </c>
      <c r="CW63" s="25">
        <f t="shared" si="78"/>
        <v>0</v>
      </c>
      <c r="CX63" s="25">
        <f t="shared" si="78"/>
        <v>0</v>
      </c>
      <c r="CY63" s="25">
        <f t="shared" si="78"/>
        <v>0</v>
      </c>
      <c r="CZ63" s="25">
        <f t="shared" si="79"/>
        <v>0</v>
      </c>
      <c r="DA63" s="25">
        <f t="shared" si="79"/>
        <v>0</v>
      </c>
      <c r="DB63" s="25">
        <f t="shared" si="79"/>
        <v>20000000</v>
      </c>
      <c r="DC63" s="25">
        <f t="shared" si="80"/>
        <v>0</v>
      </c>
      <c r="DD63" s="25">
        <f t="shared" si="80"/>
        <v>0</v>
      </c>
      <c r="DE63" s="25">
        <f t="shared" si="80"/>
        <v>0</v>
      </c>
      <c r="DF63" s="25"/>
      <c r="DG63" s="25">
        <f t="shared" si="81"/>
        <v>0</v>
      </c>
      <c r="DH63" s="56">
        <f t="shared" si="81"/>
        <v>0</v>
      </c>
      <c r="DI63" s="25">
        <f t="shared" si="81"/>
        <v>0</v>
      </c>
    </row>
    <row r="64" spans="1:114" ht="33.75" customHeight="1" x14ac:dyDescent="0.25">
      <c r="A64" s="184"/>
      <c r="B64" s="187"/>
      <c r="C64" s="21" t="s">
        <v>195</v>
      </c>
      <c r="D64" s="22" t="s">
        <v>196</v>
      </c>
      <c r="E64" s="23">
        <v>520</v>
      </c>
      <c r="F64" s="24" t="s">
        <v>91</v>
      </c>
      <c r="G64" s="25">
        <f t="shared" si="67"/>
        <v>405901442</v>
      </c>
      <c r="H64" s="49"/>
      <c r="I64" s="36"/>
      <c r="J64" s="36"/>
      <c r="K64" s="25">
        <f>28450721+133450721</f>
        <v>161901442</v>
      </c>
      <c r="L64" s="25"/>
      <c r="M64" s="25"/>
      <c r="N64" s="25"/>
      <c r="O64" s="25"/>
      <c r="P64" s="25"/>
      <c r="Q64" s="25"/>
      <c r="R64" s="25">
        <f>200000000+44000000</f>
        <v>244000000</v>
      </c>
      <c r="S64" s="25"/>
      <c r="T64" s="25"/>
      <c r="U64" s="25"/>
      <c r="V64" s="25"/>
      <c r="W64" s="25"/>
      <c r="X64" s="25"/>
      <c r="Y64" s="25"/>
      <c r="Z64" s="25"/>
      <c r="AB64" s="27">
        <f t="shared" si="1"/>
        <v>0.73653121931998455</v>
      </c>
      <c r="AC64" s="25">
        <f t="shared" si="68"/>
        <v>298959084</v>
      </c>
      <c r="AD64" s="25"/>
      <c r="AE64" s="25"/>
      <c r="AF64" s="25"/>
      <c r="AG64" s="25"/>
      <c r="AH64" s="25">
        <f>+'[1]AGOSTO 2016'!$O$2654</f>
        <v>111857093</v>
      </c>
      <c r="AI64" s="25"/>
      <c r="AJ64" s="25"/>
      <c r="AK64" s="25"/>
      <c r="AL64" s="25"/>
      <c r="AM64" s="25"/>
      <c r="AN64" s="25"/>
      <c r="AO64" s="25">
        <f>+'[1]AGOSTO 2016'!$V$2654</f>
        <v>187101991</v>
      </c>
      <c r="AP64" s="25"/>
      <c r="AQ64" s="25"/>
      <c r="AR64" s="25"/>
      <c r="AS64" s="25"/>
      <c r="AT64" s="25"/>
      <c r="AU64" s="25"/>
      <c r="AV64" s="25"/>
      <c r="AW64" s="25"/>
      <c r="AX64" s="27">
        <f t="shared" si="3"/>
        <v>0.26346878068001545</v>
      </c>
      <c r="AY64" s="25">
        <f t="shared" si="69"/>
        <v>106942358</v>
      </c>
      <c r="AZ64" s="25">
        <f t="shared" si="70"/>
        <v>0</v>
      </c>
      <c r="BA64" s="25">
        <f t="shared" si="70"/>
        <v>0</v>
      </c>
      <c r="BB64" s="25">
        <f t="shared" si="70"/>
        <v>0</v>
      </c>
      <c r="BC64" s="25">
        <f t="shared" si="71"/>
        <v>50044349</v>
      </c>
      <c r="BD64" s="25">
        <f t="shared" si="71"/>
        <v>0</v>
      </c>
      <c r="BE64" s="25">
        <f t="shared" si="71"/>
        <v>0</v>
      </c>
      <c r="BF64" s="25">
        <f>N64-AK64</f>
        <v>0</v>
      </c>
      <c r="BG64" s="25">
        <f t="shared" si="71"/>
        <v>0</v>
      </c>
      <c r="BH64" s="25">
        <f t="shared" si="71"/>
        <v>0</v>
      </c>
      <c r="BI64" s="25">
        <f t="shared" si="71"/>
        <v>0</v>
      </c>
      <c r="BJ64" s="25">
        <f t="shared" si="71"/>
        <v>56898009</v>
      </c>
      <c r="BK64" s="25">
        <f t="shared" si="71"/>
        <v>0</v>
      </c>
      <c r="BL64" s="25">
        <f>T64-AQ64</f>
        <v>0</v>
      </c>
      <c r="BM64" s="25">
        <f t="shared" si="71"/>
        <v>0</v>
      </c>
      <c r="BN64" s="25">
        <f t="shared" si="71"/>
        <v>0</v>
      </c>
      <c r="BO64" s="25"/>
      <c r="BP64" s="25"/>
      <c r="BQ64" s="25">
        <f t="shared" si="72"/>
        <v>0</v>
      </c>
      <c r="BR64" s="25">
        <f t="shared" si="73"/>
        <v>0</v>
      </c>
      <c r="BS64" s="27">
        <f t="shared" si="10"/>
        <v>0.69217745720647128</v>
      </c>
      <c r="BT64" s="25">
        <f t="shared" si="74"/>
        <v>280955828</v>
      </c>
      <c r="BU64" s="25"/>
      <c r="BV64" s="25"/>
      <c r="BW64" s="25"/>
      <c r="BX64" s="25"/>
      <c r="BY64" s="25">
        <f>'[1]AGOSTO 2016'!$H$2652-CF64</f>
        <v>95580214</v>
      </c>
      <c r="BZ64" s="25"/>
      <c r="CA64" s="25"/>
      <c r="CB64" s="25"/>
      <c r="CC64" s="25"/>
      <c r="CD64" s="25"/>
      <c r="CE64" s="25"/>
      <c r="CF64" s="25">
        <f>+'[1]AGOSTO 2016'!$H$2666+'[1]AGOSTO 2016'!$H$2677+'[1]AGOSTO 2016'!$H$2704+'[1]AGOSTO 2016'!$H$2707+'[1]AGOSTO 2016'!$H$2723+'[1]AGOSTO 2016'!$H$2724+'[1]AGOSTO 2016'!$H$2726+'[1]AGOSTO 2016'!$H$2727+'[1]AGOSTO 2016'!$H$2728+'[1]AGOSTO 2016'!$H$2736</f>
        <v>185375614</v>
      </c>
      <c r="CG64" s="25"/>
      <c r="CH64" s="25"/>
      <c r="CI64" s="25"/>
      <c r="CJ64" s="25"/>
      <c r="CK64" s="25"/>
      <c r="CL64" s="25"/>
      <c r="CM64" s="25"/>
      <c r="CN64" s="25"/>
      <c r="CO64" s="27">
        <f t="shared" si="75"/>
        <v>0.30782254279352872</v>
      </c>
      <c r="CP64" s="25">
        <f t="shared" si="76"/>
        <v>124945614</v>
      </c>
      <c r="CQ64" s="25">
        <f t="shared" si="77"/>
        <v>0</v>
      </c>
      <c r="CR64" s="25">
        <f t="shared" si="77"/>
        <v>0</v>
      </c>
      <c r="CS64" s="25">
        <f t="shared" si="77"/>
        <v>0</v>
      </c>
      <c r="CT64" s="25">
        <f t="shared" si="77"/>
        <v>66321228</v>
      </c>
      <c r="CU64" s="25">
        <f t="shared" si="77"/>
        <v>0</v>
      </c>
      <c r="CV64" s="25">
        <f t="shared" si="77"/>
        <v>0</v>
      </c>
      <c r="CW64" s="25">
        <f t="shared" si="78"/>
        <v>0</v>
      </c>
      <c r="CX64" s="25">
        <f t="shared" si="78"/>
        <v>0</v>
      </c>
      <c r="CY64" s="25">
        <f t="shared" si="78"/>
        <v>0</v>
      </c>
      <c r="CZ64" s="25">
        <f t="shared" si="79"/>
        <v>0</v>
      </c>
      <c r="DA64" s="25">
        <f t="shared" si="79"/>
        <v>58624386</v>
      </c>
      <c r="DB64" s="25">
        <f t="shared" si="79"/>
        <v>0</v>
      </c>
      <c r="DC64" s="25">
        <f t="shared" si="80"/>
        <v>0</v>
      </c>
      <c r="DD64" s="25">
        <f t="shared" si="80"/>
        <v>0</v>
      </c>
      <c r="DE64" s="25">
        <f t="shared" si="80"/>
        <v>0</v>
      </c>
      <c r="DF64" s="25"/>
      <c r="DG64" s="25">
        <f t="shared" si="81"/>
        <v>0</v>
      </c>
      <c r="DH64" s="56">
        <f t="shared" si="81"/>
        <v>0</v>
      </c>
      <c r="DI64" s="25">
        <f t="shared" si="81"/>
        <v>0</v>
      </c>
    </row>
    <row r="65" spans="1:113" ht="30.75" customHeight="1" x14ac:dyDescent="0.25">
      <c r="A65" s="184"/>
      <c r="B65" s="187"/>
      <c r="C65" s="21" t="s">
        <v>197</v>
      </c>
      <c r="D65" s="22" t="s">
        <v>198</v>
      </c>
      <c r="E65" s="23">
        <v>520</v>
      </c>
      <c r="F65" s="24" t="s">
        <v>199</v>
      </c>
      <c r="G65" s="25">
        <f t="shared" si="67"/>
        <v>11000000</v>
      </c>
      <c r="H65" s="36"/>
      <c r="I65" s="36"/>
      <c r="J65" s="36"/>
      <c r="K65" s="36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f>8000000+3000000</f>
        <v>11000000</v>
      </c>
      <c r="AB65" s="27">
        <f t="shared" si="1"/>
        <v>0.72727272727272729</v>
      </c>
      <c r="AC65" s="25">
        <f t="shared" si="68"/>
        <v>8000000</v>
      </c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>
        <f>+'[7]JUNIO 2016'!$AG$1918</f>
        <v>8000000</v>
      </c>
      <c r="AX65" s="27">
        <f t="shared" si="3"/>
        <v>0.27272727272727271</v>
      </c>
      <c r="AY65" s="25">
        <f t="shared" si="69"/>
        <v>3000000</v>
      </c>
      <c r="AZ65" s="25">
        <f t="shared" si="70"/>
        <v>0</v>
      </c>
      <c r="BA65" s="25">
        <f t="shared" si="70"/>
        <v>0</v>
      </c>
      <c r="BB65" s="25">
        <f t="shared" si="70"/>
        <v>0</v>
      </c>
      <c r="BC65" s="25">
        <f t="shared" si="71"/>
        <v>0</v>
      </c>
      <c r="BD65" s="25">
        <f t="shared" si="71"/>
        <v>0</v>
      </c>
      <c r="BE65" s="25">
        <f t="shared" si="71"/>
        <v>0</v>
      </c>
      <c r="BF65" s="25">
        <f>N65-AK65</f>
        <v>0</v>
      </c>
      <c r="BG65" s="25">
        <f t="shared" si="71"/>
        <v>0</v>
      </c>
      <c r="BH65" s="25">
        <f t="shared" si="71"/>
        <v>0</v>
      </c>
      <c r="BI65" s="25">
        <f t="shared" si="71"/>
        <v>0</v>
      </c>
      <c r="BJ65" s="25">
        <f t="shared" si="71"/>
        <v>0</v>
      </c>
      <c r="BK65" s="25">
        <f t="shared" si="71"/>
        <v>0</v>
      </c>
      <c r="BL65" s="25">
        <f>T65-AQ65</f>
        <v>0</v>
      </c>
      <c r="BM65" s="25">
        <f t="shared" si="71"/>
        <v>0</v>
      </c>
      <c r="BN65" s="25">
        <f t="shared" si="71"/>
        <v>0</v>
      </c>
      <c r="BO65" s="25"/>
      <c r="BP65" s="25"/>
      <c r="BQ65" s="25">
        <f t="shared" si="72"/>
        <v>0</v>
      </c>
      <c r="BR65" s="25">
        <f t="shared" si="73"/>
        <v>3000000</v>
      </c>
      <c r="BS65" s="27">
        <f t="shared" si="10"/>
        <v>0.46963209090909092</v>
      </c>
      <c r="BT65" s="25">
        <f t="shared" si="74"/>
        <v>5165953</v>
      </c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>
        <f>+'[7]JUNIO 2016'!$H$1916</f>
        <v>5165953</v>
      </c>
      <c r="CO65" s="27">
        <f t="shared" si="75"/>
        <v>0.53036790909090903</v>
      </c>
      <c r="CP65" s="25">
        <f t="shared" si="76"/>
        <v>5834047</v>
      </c>
      <c r="CQ65" s="25">
        <f t="shared" si="77"/>
        <v>0</v>
      </c>
      <c r="CR65" s="25">
        <f t="shared" si="77"/>
        <v>0</v>
      </c>
      <c r="CS65" s="25">
        <f t="shared" si="77"/>
        <v>0</v>
      </c>
      <c r="CT65" s="25">
        <f t="shared" si="77"/>
        <v>0</v>
      </c>
      <c r="CU65" s="25">
        <f t="shared" si="77"/>
        <v>0</v>
      </c>
      <c r="CV65" s="25">
        <f t="shared" si="77"/>
        <v>0</v>
      </c>
      <c r="CW65" s="25">
        <f t="shared" si="78"/>
        <v>0</v>
      </c>
      <c r="CX65" s="25">
        <f t="shared" si="78"/>
        <v>0</v>
      </c>
      <c r="CY65" s="25">
        <f t="shared" si="78"/>
        <v>0</v>
      </c>
      <c r="CZ65" s="25">
        <f t="shared" si="79"/>
        <v>0</v>
      </c>
      <c r="DA65" s="25">
        <f t="shared" si="79"/>
        <v>0</v>
      </c>
      <c r="DB65" s="25">
        <f t="shared" si="79"/>
        <v>0</v>
      </c>
      <c r="DC65" s="25">
        <f t="shared" si="80"/>
        <v>0</v>
      </c>
      <c r="DD65" s="25">
        <f t="shared" si="80"/>
        <v>0</v>
      </c>
      <c r="DE65" s="25">
        <f t="shared" si="80"/>
        <v>0</v>
      </c>
      <c r="DF65" s="25"/>
      <c r="DG65" s="25">
        <f t="shared" si="81"/>
        <v>0</v>
      </c>
      <c r="DH65" s="56">
        <f t="shared" si="81"/>
        <v>0</v>
      </c>
      <c r="DI65" s="25">
        <f t="shared" si="81"/>
        <v>5834047</v>
      </c>
    </row>
    <row r="66" spans="1:113" ht="34.5" customHeight="1" x14ac:dyDescent="0.25">
      <c r="A66" s="184"/>
      <c r="B66" s="187"/>
      <c r="C66" s="21" t="s">
        <v>200</v>
      </c>
      <c r="D66" s="22" t="s">
        <v>201</v>
      </c>
      <c r="E66" s="23">
        <v>520</v>
      </c>
      <c r="F66" s="24" t="s">
        <v>202</v>
      </c>
      <c r="G66" s="25">
        <f t="shared" si="67"/>
        <v>5000000</v>
      </c>
      <c r="H66" s="36"/>
      <c r="I66" s="36"/>
      <c r="J66" s="36"/>
      <c r="K66" s="36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>
        <v>5000000</v>
      </c>
      <c r="AB66" s="27">
        <f t="shared" si="1"/>
        <v>1</v>
      </c>
      <c r="AC66" s="25">
        <f t="shared" si="68"/>
        <v>5000000</v>
      </c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>
        <f>+'[8]MAYO 2016'!$AG$1678</f>
        <v>5000000</v>
      </c>
      <c r="AX66" s="27">
        <f t="shared" si="3"/>
        <v>0</v>
      </c>
      <c r="AY66" s="25">
        <f t="shared" si="69"/>
        <v>0</v>
      </c>
      <c r="AZ66" s="25">
        <f t="shared" si="70"/>
        <v>0</v>
      </c>
      <c r="BA66" s="25">
        <f t="shared" si="70"/>
        <v>0</v>
      </c>
      <c r="BB66" s="25">
        <f t="shared" si="70"/>
        <v>0</v>
      </c>
      <c r="BC66" s="25">
        <f t="shared" si="71"/>
        <v>0</v>
      </c>
      <c r="BD66" s="25">
        <f t="shared" si="71"/>
        <v>0</v>
      </c>
      <c r="BE66" s="25">
        <f t="shared" si="71"/>
        <v>0</v>
      </c>
      <c r="BF66" s="25">
        <f>N66-AK66</f>
        <v>0</v>
      </c>
      <c r="BG66" s="25">
        <f t="shared" si="71"/>
        <v>0</v>
      </c>
      <c r="BH66" s="25">
        <f t="shared" si="71"/>
        <v>0</v>
      </c>
      <c r="BI66" s="25">
        <f t="shared" si="71"/>
        <v>0</v>
      </c>
      <c r="BJ66" s="25">
        <f t="shared" si="71"/>
        <v>0</v>
      </c>
      <c r="BK66" s="25">
        <f t="shared" si="71"/>
        <v>0</v>
      </c>
      <c r="BL66" s="25">
        <f>T66-AQ66</f>
        <v>0</v>
      </c>
      <c r="BM66" s="25">
        <f t="shared" si="71"/>
        <v>0</v>
      </c>
      <c r="BN66" s="25">
        <f t="shared" si="71"/>
        <v>0</v>
      </c>
      <c r="BO66" s="25"/>
      <c r="BP66" s="25"/>
      <c r="BQ66" s="25">
        <f t="shared" si="72"/>
        <v>0</v>
      </c>
      <c r="BR66" s="25">
        <f t="shared" si="73"/>
        <v>0</v>
      </c>
      <c r="BS66" s="27">
        <f t="shared" si="10"/>
        <v>0.99863999999999997</v>
      </c>
      <c r="BT66" s="25">
        <f t="shared" si="74"/>
        <v>4993200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>
        <f>+'[8]MAYO 2016'!$H$1676</f>
        <v>4993200</v>
      </c>
      <c r="CO66" s="27">
        <f t="shared" si="75"/>
        <v>1.3600000000000279E-3</v>
      </c>
      <c r="CP66" s="25">
        <f t="shared" si="76"/>
        <v>6800</v>
      </c>
      <c r="CQ66" s="25">
        <f t="shared" si="77"/>
        <v>0</v>
      </c>
      <c r="CR66" s="25">
        <f t="shared" si="77"/>
        <v>0</v>
      </c>
      <c r="CS66" s="25">
        <f t="shared" si="77"/>
        <v>0</v>
      </c>
      <c r="CT66" s="25">
        <f t="shared" si="77"/>
        <v>0</v>
      </c>
      <c r="CU66" s="25">
        <f t="shared" si="77"/>
        <v>0</v>
      </c>
      <c r="CV66" s="25">
        <f t="shared" si="77"/>
        <v>0</v>
      </c>
      <c r="CW66" s="25">
        <f t="shared" si="78"/>
        <v>0</v>
      </c>
      <c r="CX66" s="25">
        <f t="shared" si="78"/>
        <v>0</v>
      </c>
      <c r="CY66" s="25">
        <f t="shared" si="78"/>
        <v>0</v>
      </c>
      <c r="CZ66" s="25">
        <f t="shared" si="79"/>
        <v>0</v>
      </c>
      <c r="DA66" s="25">
        <f t="shared" si="79"/>
        <v>0</v>
      </c>
      <c r="DB66" s="25">
        <f t="shared" si="79"/>
        <v>0</v>
      </c>
      <c r="DC66" s="25">
        <f t="shared" si="80"/>
        <v>0</v>
      </c>
      <c r="DD66" s="25">
        <f t="shared" si="80"/>
        <v>0</v>
      </c>
      <c r="DE66" s="25">
        <f t="shared" si="80"/>
        <v>0</v>
      </c>
      <c r="DF66" s="25"/>
      <c r="DG66" s="25">
        <f t="shared" si="81"/>
        <v>0</v>
      </c>
      <c r="DH66" s="56">
        <f t="shared" si="81"/>
        <v>0</v>
      </c>
      <c r="DI66" s="25">
        <f t="shared" si="81"/>
        <v>6800</v>
      </c>
    </row>
    <row r="67" spans="1:113" ht="35.25" customHeight="1" x14ac:dyDescent="0.25">
      <c r="A67" s="184"/>
      <c r="B67" s="187"/>
      <c r="C67" s="21" t="s">
        <v>203</v>
      </c>
      <c r="D67" s="22" t="s">
        <v>204</v>
      </c>
      <c r="E67" s="23">
        <v>520</v>
      </c>
      <c r="F67" s="24" t="s">
        <v>202</v>
      </c>
      <c r="G67" s="25">
        <f t="shared" si="67"/>
        <v>0</v>
      </c>
      <c r="H67" s="36"/>
      <c r="I67" s="36"/>
      <c r="J67" s="36"/>
      <c r="K67" s="36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>
        <f>7000000-7000000</f>
        <v>0</v>
      </c>
      <c r="AA67" s="59"/>
      <c r="AB67" s="27" t="e">
        <f t="shared" si="1"/>
        <v>#DIV/0!</v>
      </c>
      <c r="AC67" s="25">
        <f t="shared" si="68"/>
        <v>0</v>
      </c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7" t="e">
        <f t="shared" si="3"/>
        <v>#DIV/0!</v>
      </c>
      <c r="AY67" s="25">
        <f t="shared" si="69"/>
        <v>0</v>
      </c>
      <c r="AZ67" s="25">
        <f t="shared" si="70"/>
        <v>0</v>
      </c>
      <c r="BA67" s="25">
        <f t="shared" si="70"/>
        <v>0</v>
      </c>
      <c r="BB67" s="25">
        <f t="shared" si="70"/>
        <v>0</v>
      </c>
      <c r="BC67" s="25">
        <f t="shared" si="71"/>
        <v>0</v>
      </c>
      <c r="BD67" s="25">
        <f t="shared" si="71"/>
        <v>0</v>
      </c>
      <c r="BE67" s="25">
        <f t="shared" si="71"/>
        <v>0</v>
      </c>
      <c r="BF67" s="25">
        <f>+N67-AK67</f>
        <v>0</v>
      </c>
      <c r="BG67" s="25">
        <f t="shared" si="71"/>
        <v>0</v>
      </c>
      <c r="BH67" s="25">
        <f t="shared" si="71"/>
        <v>0</v>
      </c>
      <c r="BI67" s="25">
        <f t="shared" si="71"/>
        <v>0</v>
      </c>
      <c r="BJ67" s="25">
        <f t="shared" si="71"/>
        <v>0</v>
      </c>
      <c r="BK67" s="25">
        <f t="shared" si="71"/>
        <v>0</v>
      </c>
      <c r="BL67" s="25">
        <f>+T67-AQ67</f>
        <v>0</v>
      </c>
      <c r="BM67" s="25">
        <f t="shared" si="71"/>
        <v>0</v>
      </c>
      <c r="BN67" s="25">
        <f t="shared" si="71"/>
        <v>0</v>
      </c>
      <c r="BO67" s="25"/>
      <c r="BP67" s="25">
        <f>+X67-AU67</f>
        <v>0</v>
      </c>
      <c r="BQ67" s="25">
        <f t="shared" si="72"/>
        <v>0</v>
      </c>
      <c r="BR67" s="25">
        <f t="shared" si="73"/>
        <v>0</v>
      </c>
      <c r="BS67" s="27" t="e">
        <f t="shared" si="10"/>
        <v>#DIV/0!</v>
      </c>
      <c r="BT67" s="25">
        <f t="shared" si="74"/>
        <v>0</v>
      </c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7" t="e">
        <f t="shared" si="75"/>
        <v>#DIV/0!</v>
      </c>
      <c r="CP67" s="25">
        <f t="shared" si="76"/>
        <v>0</v>
      </c>
      <c r="CQ67" s="25">
        <f t="shared" si="77"/>
        <v>0</v>
      </c>
      <c r="CR67" s="25">
        <f t="shared" si="77"/>
        <v>0</v>
      </c>
      <c r="CS67" s="25">
        <f t="shared" si="77"/>
        <v>0</v>
      </c>
      <c r="CT67" s="25">
        <f t="shared" si="77"/>
        <v>0</v>
      </c>
      <c r="CU67" s="25">
        <f t="shared" si="77"/>
        <v>0</v>
      </c>
      <c r="CV67" s="25">
        <f t="shared" si="77"/>
        <v>0</v>
      </c>
      <c r="CW67" s="25">
        <f t="shared" si="78"/>
        <v>0</v>
      </c>
      <c r="CX67" s="25">
        <f t="shared" si="78"/>
        <v>0</v>
      </c>
      <c r="CY67" s="25">
        <f t="shared" si="78"/>
        <v>0</v>
      </c>
      <c r="CZ67" s="25">
        <f t="shared" si="79"/>
        <v>0</v>
      </c>
      <c r="DA67" s="25">
        <f t="shared" si="79"/>
        <v>0</v>
      </c>
      <c r="DB67" s="25">
        <f t="shared" si="79"/>
        <v>0</v>
      </c>
      <c r="DC67" s="25">
        <f t="shared" si="80"/>
        <v>0</v>
      </c>
      <c r="DD67" s="25">
        <f t="shared" si="80"/>
        <v>0</v>
      </c>
      <c r="DE67" s="25">
        <f t="shared" si="80"/>
        <v>0</v>
      </c>
      <c r="DF67" s="25"/>
      <c r="DG67" s="25">
        <f t="shared" si="81"/>
        <v>0</v>
      </c>
      <c r="DH67" s="56">
        <f t="shared" si="81"/>
        <v>0</v>
      </c>
      <c r="DI67" s="25">
        <f t="shared" si="81"/>
        <v>0</v>
      </c>
    </row>
    <row r="68" spans="1:113" ht="76.5" customHeight="1" x14ac:dyDescent="0.25">
      <c r="A68" s="184"/>
      <c r="B68" s="187"/>
      <c r="C68" s="21" t="s">
        <v>205</v>
      </c>
      <c r="D68" s="22" t="s">
        <v>206</v>
      </c>
      <c r="E68" s="23">
        <v>520</v>
      </c>
      <c r="F68" s="24" t="s">
        <v>207</v>
      </c>
      <c r="G68" s="25">
        <f t="shared" si="67"/>
        <v>401355998</v>
      </c>
      <c r="H68" s="36"/>
      <c r="I68" s="36"/>
      <c r="J68" s="36"/>
      <c r="K68" s="36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>
        <f>267022558+25000000+11804220+35899362+2954659+41266345-11804220+4000000+896074+17250000+7067000</f>
        <v>401355998</v>
      </c>
      <c r="AA68" s="59"/>
      <c r="AB68" s="27">
        <f t="shared" ref="AB68:AB91" si="82">+AC68/G68</f>
        <v>0.97525749197848044</v>
      </c>
      <c r="AC68" s="25">
        <f t="shared" si="68"/>
        <v>391425444</v>
      </c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>
        <f>+'[1]AGOSTO 2016'!$G$2792</f>
        <v>391425444</v>
      </c>
      <c r="AX68" s="27">
        <f t="shared" ref="AX68:AX91" si="83">1-AB68</f>
        <v>2.474250802151956E-2</v>
      </c>
      <c r="AY68" s="25">
        <f t="shared" si="69"/>
        <v>9930554</v>
      </c>
      <c r="AZ68" s="25">
        <f t="shared" si="70"/>
        <v>0</v>
      </c>
      <c r="BA68" s="25">
        <f t="shared" si="70"/>
        <v>0</v>
      </c>
      <c r="BB68" s="25">
        <f t="shared" si="70"/>
        <v>0</v>
      </c>
      <c r="BC68" s="25">
        <f t="shared" si="71"/>
        <v>0</v>
      </c>
      <c r="BD68" s="25">
        <f t="shared" si="71"/>
        <v>0</v>
      </c>
      <c r="BE68" s="25">
        <f t="shared" si="71"/>
        <v>0</v>
      </c>
      <c r="BF68" s="25">
        <f>+N68-AK68</f>
        <v>0</v>
      </c>
      <c r="BG68" s="25">
        <f t="shared" si="71"/>
        <v>0</v>
      </c>
      <c r="BH68" s="25">
        <f t="shared" si="71"/>
        <v>0</v>
      </c>
      <c r="BI68" s="25">
        <f t="shared" si="71"/>
        <v>0</v>
      </c>
      <c r="BJ68" s="25">
        <f t="shared" si="71"/>
        <v>0</v>
      </c>
      <c r="BK68" s="25">
        <f t="shared" si="71"/>
        <v>0</v>
      </c>
      <c r="BL68" s="25">
        <f>+T68-AQ68</f>
        <v>0</v>
      </c>
      <c r="BM68" s="25">
        <f t="shared" si="71"/>
        <v>0</v>
      </c>
      <c r="BN68" s="25">
        <f t="shared" si="71"/>
        <v>0</v>
      </c>
      <c r="BO68" s="25"/>
      <c r="BP68" s="25"/>
      <c r="BQ68" s="25">
        <f t="shared" si="72"/>
        <v>0</v>
      </c>
      <c r="BR68" s="25">
        <f t="shared" si="73"/>
        <v>9930554</v>
      </c>
      <c r="BS68" s="27">
        <f t="shared" ref="BS68:BS91" si="84">+BT68/G68</f>
        <v>0.95542125173372894</v>
      </c>
      <c r="BT68" s="25">
        <f t="shared" si="74"/>
        <v>383464050</v>
      </c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>
        <f>+'[1]AGOSTO 2016'!$H$2792</f>
        <v>383464050</v>
      </c>
      <c r="CO68" s="27">
        <f t="shared" si="75"/>
        <v>4.4578748266271062E-2</v>
      </c>
      <c r="CP68" s="25">
        <f t="shared" si="76"/>
        <v>17891948</v>
      </c>
      <c r="CQ68" s="25">
        <f t="shared" si="77"/>
        <v>0</v>
      </c>
      <c r="CR68" s="25">
        <f t="shared" si="77"/>
        <v>0</v>
      </c>
      <c r="CS68" s="25">
        <f t="shared" si="77"/>
        <v>0</v>
      </c>
      <c r="CT68" s="25">
        <f t="shared" si="77"/>
        <v>0</v>
      </c>
      <c r="CU68" s="25">
        <f t="shared" si="77"/>
        <v>0</v>
      </c>
      <c r="CV68" s="25">
        <f t="shared" si="77"/>
        <v>0</v>
      </c>
      <c r="CW68" s="25">
        <f t="shared" si="78"/>
        <v>0</v>
      </c>
      <c r="CX68" s="25">
        <f t="shared" si="78"/>
        <v>0</v>
      </c>
      <c r="CY68" s="25">
        <f t="shared" si="78"/>
        <v>0</v>
      </c>
      <c r="CZ68" s="25">
        <f t="shared" si="79"/>
        <v>0</v>
      </c>
      <c r="DA68" s="25">
        <f t="shared" si="79"/>
        <v>0</v>
      </c>
      <c r="DB68" s="25">
        <f t="shared" si="79"/>
        <v>0</v>
      </c>
      <c r="DC68" s="25">
        <f t="shared" si="80"/>
        <v>0</v>
      </c>
      <c r="DD68" s="25">
        <f t="shared" si="80"/>
        <v>0</v>
      </c>
      <c r="DE68" s="25">
        <f t="shared" si="80"/>
        <v>0</v>
      </c>
      <c r="DF68" s="25"/>
      <c r="DG68" s="25">
        <f t="shared" si="81"/>
        <v>0</v>
      </c>
      <c r="DH68" s="56">
        <f t="shared" si="81"/>
        <v>0</v>
      </c>
      <c r="DI68" s="25">
        <f t="shared" si="81"/>
        <v>17891948</v>
      </c>
    </row>
    <row r="69" spans="1:113" ht="36" customHeight="1" x14ac:dyDescent="0.25">
      <c r="A69" s="184"/>
      <c r="B69" s="187"/>
      <c r="C69" s="21" t="s">
        <v>208</v>
      </c>
      <c r="D69" s="22" t="s">
        <v>209</v>
      </c>
      <c r="E69" s="23">
        <v>520</v>
      </c>
      <c r="F69" s="24" t="s">
        <v>91</v>
      </c>
      <c r="G69" s="25">
        <f t="shared" si="67"/>
        <v>20000000</v>
      </c>
      <c r="H69" s="36"/>
      <c r="I69" s="36"/>
      <c r="J69" s="36"/>
      <c r="K69" s="25">
        <v>20000000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59"/>
      <c r="AB69" s="27">
        <f t="shared" si="82"/>
        <v>0</v>
      </c>
      <c r="AC69" s="25">
        <f t="shared" si="68"/>
        <v>0</v>
      </c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7">
        <f t="shared" si="83"/>
        <v>1</v>
      </c>
      <c r="AY69" s="25">
        <f t="shared" si="69"/>
        <v>20000000</v>
      </c>
      <c r="AZ69" s="25">
        <f t="shared" si="70"/>
        <v>0</v>
      </c>
      <c r="BA69" s="25">
        <f t="shared" si="70"/>
        <v>0</v>
      </c>
      <c r="BB69" s="25">
        <f t="shared" si="70"/>
        <v>0</v>
      </c>
      <c r="BC69" s="25">
        <f t="shared" si="70"/>
        <v>20000000</v>
      </c>
      <c r="BD69" s="25">
        <f t="shared" si="70"/>
        <v>0</v>
      </c>
      <c r="BE69" s="25">
        <f t="shared" si="70"/>
        <v>0</v>
      </c>
      <c r="BF69" s="25">
        <f t="shared" si="70"/>
        <v>0</v>
      </c>
      <c r="BG69" s="25">
        <f t="shared" si="70"/>
        <v>0</v>
      </c>
      <c r="BH69" s="25">
        <f t="shared" si="70"/>
        <v>0</v>
      </c>
      <c r="BI69" s="25">
        <f t="shared" si="70"/>
        <v>0</v>
      </c>
      <c r="BJ69" s="25">
        <f t="shared" si="70"/>
        <v>0</v>
      </c>
      <c r="BK69" s="25">
        <f t="shared" si="70"/>
        <v>0</v>
      </c>
      <c r="BL69" s="25">
        <f t="shared" si="70"/>
        <v>0</v>
      </c>
      <c r="BM69" s="25">
        <f t="shared" si="70"/>
        <v>0</v>
      </c>
      <c r="BN69" s="25">
        <f t="shared" si="70"/>
        <v>0</v>
      </c>
      <c r="BO69" s="25"/>
      <c r="BP69" s="25">
        <f>X69-AU69</f>
        <v>0</v>
      </c>
      <c r="BQ69" s="25">
        <f t="shared" si="72"/>
        <v>0</v>
      </c>
      <c r="BR69" s="25">
        <f>Z69-AW69</f>
        <v>0</v>
      </c>
      <c r="BS69" s="27">
        <f t="shared" si="84"/>
        <v>0</v>
      </c>
      <c r="BT69" s="25">
        <f t="shared" si="74"/>
        <v>0</v>
      </c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7">
        <f t="shared" si="75"/>
        <v>1</v>
      </c>
      <c r="CP69" s="25">
        <f t="shared" si="76"/>
        <v>20000000</v>
      </c>
      <c r="CQ69" s="25">
        <f t="shared" si="77"/>
        <v>0</v>
      </c>
      <c r="CR69" s="25">
        <f t="shared" si="77"/>
        <v>0</v>
      </c>
      <c r="CS69" s="25">
        <f t="shared" si="77"/>
        <v>0</v>
      </c>
      <c r="CT69" s="25">
        <f t="shared" si="77"/>
        <v>20000000</v>
      </c>
      <c r="CU69" s="25">
        <f t="shared" si="77"/>
        <v>0</v>
      </c>
      <c r="CV69" s="25">
        <f t="shared" si="77"/>
        <v>0</v>
      </c>
      <c r="CW69" s="25">
        <f t="shared" si="77"/>
        <v>0</v>
      </c>
      <c r="CX69" s="25">
        <f t="shared" si="77"/>
        <v>0</v>
      </c>
      <c r="CY69" s="25">
        <f t="shared" si="77"/>
        <v>0</v>
      </c>
      <c r="CZ69" s="25">
        <f t="shared" si="79"/>
        <v>0</v>
      </c>
      <c r="DA69" s="25">
        <f t="shared" si="79"/>
        <v>0</v>
      </c>
      <c r="DB69" s="25">
        <f t="shared" si="79"/>
        <v>0</v>
      </c>
      <c r="DC69" s="25">
        <f t="shared" si="79"/>
        <v>0</v>
      </c>
      <c r="DD69" s="25">
        <f t="shared" si="79"/>
        <v>0</v>
      </c>
      <c r="DE69" s="25">
        <f t="shared" si="79"/>
        <v>0</v>
      </c>
      <c r="DF69" s="25"/>
      <c r="DG69" s="25">
        <f t="shared" ref="DG69:DI70" si="85">X69-CL69</f>
        <v>0</v>
      </c>
      <c r="DH69" s="25">
        <f t="shared" si="85"/>
        <v>0</v>
      </c>
      <c r="DI69" s="25">
        <f t="shared" si="85"/>
        <v>0</v>
      </c>
    </row>
    <row r="70" spans="1:113" ht="34.5" customHeight="1" x14ac:dyDescent="0.25">
      <c r="A70" s="185"/>
      <c r="B70" s="188"/>
      <c r="C70" s="21" t="s">
        <v>210</v>
      </c>
      <c r="D70" s="22" t="s">
        <v>211</v>
      </c>
      <c r="E70" s="23">
        <v>520</v>
      </c>
      <c r="F70" s="24" t="s">
        <v>91</v>
      </c>
      <c r="G70" s="25">
        <f t="shared" si="67"/>
        <v>20000000</v>
      </c>
      <c r="H70" s="36"/>
      <c r="I70" s="36"/>
      <c r="J70" s="36"/>
      <c r="K70" s="25">
        <v>20000000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59"/>
      <c r="AB70" s="27">
        <f t="shared" si="82"/>
        <v>0.76</v>
      </c>
      <c r="AC70" s="25">
        <f t="shared" si="68"/>
        <v>15200000</v>
      </c>
      <c r="AD70" s="25"/>
      <c r="AE70" s="25"/>
      <c r="AF70" s="25"/>
      <c r="AG70" s="25"/>
      <c r="AH70" s="25">
        <f>+'[3]ABRIL 2016'!$O$1527</f>
        <v>15200000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7">
        <f t="shared" si="83"/>
        <v>0.24</v>
      </c>
      <c r="AY70" s="25">
        <f t="shared" si="69"/>
        <v>4800000</v>
      </c>
      <c r="AZ70" s="25">
        <f t="shared" si="70"/>
        <v>0</v>
      </c>
      <c r="BA70" s="25">
        <f t="shared" si="70"/>
        <v>0</v>
      </c>
      <c r="BB70" s="25">
        <f t="shared" si="70"/>
        <v>0</v>
      </c>
      <c r="BC70" s="25">
        <f t="shared" si="70"/>
        <v>4800000</v>
      </c>
      <c r="BD70" s="25">
        <f t="shared" si="70"/>
        <v>0</v>
      </c>
      <c r="BE70" s="25">
        <f t="shared" si="70"/>
        <v>0</v>
      </c>
      <c r="BF70" s="25">
        <f t="shared" si="70"/>
        <v>0</v>
      </c>
      <c r="BG70" s="25">
        <f t="shared" si="70"/>
        <v>0</v>
      </c>
      <c r="BH70" s="25">
        <f t="shared" si="70"/>
        <v>0</v>
      </c>
      <c r="BI70" s="25">
        <f t="shared" si="70"/>
        <v>0</v>
      </c>
      <c r="BJ70" s="25">
        <f t="shared" si="70"/>
        <v>0</v>
      </c>
      <c r="BK70" s="25">
        <f t="shared" si="70"/>
        <v>0</v>
      </c>
      <c r="BL70" s="25">
        <f t="shared" si="70"/>
        <v>0</v>
      </c>
      <c r="BM70" s="25">
        <f t="shared" si="70"/>
        <v>0</v>
      </c>
      <c r="BN70" s="25">
        <f t="shared" si="70"/>
        <v>0</v>
      </c>
      <c r="BO70" s="25"/>
      <c r="BP70" s="25">
        <f>X70-AU70</f>
        <v>0</v>
      </c>
      <c r="BQ70" s="25">
        <f t="shared" si="72"/>
        <v>0</v>
      </c>
      <c r="BR70" s="25">
        <f>Z70-AW70</f>
        <v>0</v>
      </c>
      <c r="BS70" s="27">
        <f t="shared" si="84"/>
        <v>0.62436239999999998</v>
      </c>
      <c r="BT70" s="25">
        <f t="shared" si="74"/>
        <v>12487248</v>
      </c>
      <c r="BU70" s="25"/>
      <c r="BV70" s="25"/>
      <c r="BW70" s="25"/>
      <c r="BX70" s="25"/>
      <c r="BY70" s="25">
        <f>+'[8]MAYO 2016'!$H$1761</f>
        <v>12487248</v>
      </c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7">
        <f t="shared" si="75"/>
        <v>0.37563760000000002</v>
      </c>
      <c r="CP70" s="25">
        <f t="shared" si="76"/>
        <v>7512752</v>
      </c>
      <c r="CQ70" s="25">
        <f t="shared" si="77"/>
        <v>0</v>
      </c>
      <c r="CR70" s="25">
        <f t="shared" si="77"/>
        <v>0</v>
      </c>
      <c r="CS70" s="25">
        <f t="shared" si="77"/>
        <v>0</v>
      </c>
      <c r="CT70" s="25">
        <f t="shared" si="77"/>
        <v>7512752</v>
      </c>
      <c r="CU70" s="25">
        <f t="shared" si="77"/>
        <v>0</v>
      </c>
      <c r="CV70" s="25">
        <f t="shared" si="77"/>
        <v>0</v>
      </c>
      <c r="CW70" s="25">
        <f t="shared" si="77"/>
        <v>0</v>
      </c>
      <c r="CX70" s="25">
        <f t="shared" si="77"/>
        <v>0</v>
      </c>
      <c r="CY70" s="25">
        <f t="shared" si="77"/>
        <v>0</v>
      </c>
      <c r="CZ70" s="25">
        <f t="shared" si="79"/>
        <v>0</v>
      </c>
      <c r="DA70" s="25">
        <f t="shared" si="79"/>
        <v>0</v>
      </c>
      <c r="DB70" s="25">
        <f t="shared" si="79"/>
        <v>0</v>
      </c>
      <c r="DC70" s="25">
        <f t="shared" si="79"/>
        <v>0</v>
      </c>
      <c r="DD70" s="25">
        <f t="shared" si="79"/>
        <v>0</v>
      </c>
      <c r="DE70" s="25">
        <f t="shared" si="79"/>
        <v>0</v>
      </c>
      <c r="DF70" s="25"/>
      <c r="DG70" s="25">
        <f t="shared" si="85"/>
        <v>0</v>
      </c>
      <c r="DH70" s="25">
        <f t="shared" si="85"/>
        <v>0</v>
      </c>
      <c r="DI70" s="25">
        <f t="shared" si="85"/>
        <v>0</v>
      </c>
    </row>
    <row r="71" spans="1:113" ht="33" customHeight="1" x14ac:dyDescent="0.25">
      <c r="A71" s="183" t="s">
        <v>179</v>
      </c>
      <c r="B71" s="197" t="s">
        <v>212</v>
      </c>
      <c r="C71" s="21" t="s">
        <v>213</v>
      </c>
      <c r="D71" s="22" t="s">
        <v>214</v>
      </c>
      <c r="E71" s="23">
        <v>520</v>
      </c>
      <c r="F71" s="24" t="s">
        <v>91</v>
      </c>
      <c r="G71" s="25">
        <f t="shared" si="67"/>
        <v>10000000</v>
      </c>
      <c r="H71" s="36"/>
      <c r="I71" s="25"/>
      <c r="J71" s="25"/>
      <c r="K71" s="25">
        <f>20000000-10000000</f>
        <v>10000000</v>
      </c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59"/>
      <c r="AB71" s="27">
        <f t="shared" si="82"/>
        <v>0</v>
      </c>
      <c r="AC71" s="25">
        <f t="shared" si="68"/>
        <v>0</v>
      </c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7">
        <f t="shared" si="83"/>
        <v>1</v>
      </c>
      <c r="AY71" s="25">
        <f t="shared" si="69"/>
        <v>10000000</v>
      </c>
      <c r="AZ71" s="25">
        <f t="shared" si="70"/>
        <v>0</v>
      </c>
      <c r="BA71" s="25">
        <f t="shared" si="70"/>
        <v>0</v>
      </c>
      <c r="BB71" s="25">
        <f t="shared" si="70"/>
        <v>0</v>
      </c>
      <c r="BC71" s="25">
        <f t="shared" ref="BC71:BN86" si="86">+K71-AH71</f>
        <v>10000000</v>
      </c>
      <c r="BD71" s="25">
        <f t="shared" si="86"/>
        <v>0</v>
      </c>
      <c r="BE71" s="25">
        <f t="shared" si="86"/>
        <v>0</v>
      </c>
      <c r="BF71" s="25">
        <f t="shared" si="86"/>
        <v>0</v>
      </c>
      <c r="BG71" s="25">
        <f t="shared" si="86"/>
        <v>0</v>
      </c>
      <c r="BH71" s="25">
        <f t="shared" si="86"/>
        <v>0</v>
      </c>
      <c r="BI71" s="25">
        <f t="shared" si="86"/>
        <v>0</v>
      </c>
      <c r="BJ71" s="25">
        <f t="shared" si="86"/>
        <v>0</v>
      </c>
      <c r="BK71" s="25">
        <f t="shared" si="86"/>
        <v>0</v>
      </c>
      <c r="BL71" s="25">
        <f t="shared" si="86"/>
        <v>0</v>
      </c>
      <c r="BM71" s="25">
        <f t="shared" si="86"/>
        <v>0</v>
      </c>
      <c r="BN71" s="25">
        <f t="shared" si="86"/>
        <v>0</v>
      </c>
      <c r="BO71" s="25"/>
      <c r="BP71" s="25"/>
      <c r="BQ71" s="25">
        <f t="shared" si="72"/>
        <v>0</v>
      </c>
      <c r="BR71" s="25">
        <f t="shared" ref="BR71:BR90" si="87">+Z71-AW71</f>
        <v>0</v>
      </c>
      <c r="BS71" s="27">
        <f t="shared" si="84"/>
        <v>0</v>
      </c>
      <c r="BT71" s="25">
        <f t="shared" si="74"/>
        <v>0</v>
      </c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7">
        <f t="shared" si="75"/>
        <v>1</v>
      </c>
      <c r="CP71" s="25">
        <f t="shared" si="76"/>
        <v>10000000</v>
      </c>
      <c r="CQ71" s="25">
        <f t="shared" si="77"/>
        <v>0</v>
      </c>
      <c r="CR71" s="25">
        <f t="shared" si="77"/>
        <v>0</v>
      </c>
      <c r="CS71" s="25">
        <f t="shared" si="77"/>
        <v>0</v>
      </c>
      <c r="CT71" s="25">
        <f t="shared" si="77"/>
        <v>10000000</v>
      </c>
      <c r="CU71" s="25">
        <f t="shared" si="77"/>
        <v>0</v>
      </c>
      <c r="CV71" s="25">
        <f t="shared" si="77"/>
        <v>0</v>
      </c>
      <c r="CW71" s="25">
        <f t="shared" ref="CW71:CY73" si="88">+N71-CB71</f>
        <v>0</v>
      </c>
      <c r="CX71" s="25">
        <f t="shared" si="88"/>
        <v>0</v>
      </c>
      <c r="CY71" s="25">
        <f t="shared" si="88"/>
        <v>0</v>
      </c>
      <c r="CZ71" s="25">
        <f t="shared" si="79"/>
        <v>0</v>
      </c>
      <c r="DA71" s="25">
        <f t="shared" si="79"/>
        <v>0</v>
      </c>
      <c r="DB71" s="25">
        <f t="shared" si="79"/>
        <v>0</v>
      </c>
      <c r="DC71" s="25">
        <f t="shared" ref="DC71:DE82" si="89">+T71-CH71</f>
        <v>0</v>
      </c>
      <c r="DD71" s="25">
        <f t="shared" si="89"/>
        <v>0</v>
      </c>
      <c r="DE71" s="25">
        <f t="shared" si="89"/>
        <v>0</v>
      </c>
      <c r="DF71" s="25"/>
      <c r="DG71" s="25">
        <f t="shared" ref="DG71:DI82" si="90">+X71-CL71</f>
        <v>0</v>
      </c>
      <c r="DH71" s="56">
        <f t="shared" si="90"/>
        <v>0</v>
      </c>
      <c r="DI71" s="25">
        <f t="shared" si="90"/>
        <v>0</v>
      </c>
    </row>
    <row r="72" spans="1:113" ht="35.25" customHeight="1" x14ac:dyDescent="0.25">
      <c r="A72" s="184"/>
      <c r="B72" s="198"/>
      <c r="C72" s="21" t="s">
        <v>215</v>
      </c>
      <c r="D72" s="22" t="s">
        <v>216</v>
      </c>
      <c r="E72" s="23">
        <v>520</v>
      </c>
      <c r="F72" s="24" t="s">
        <v>91</v>
      </c>
      <c r="G72" s="25">
        <f t="shared" si="67"/>
        <v>20000000</v>
      </c>
      <c r="H72" s="36"/>
      <c r="I72" s="25"/>
      <c r="J72" s="25"/>
      <c r="K72" s="25">
        <v>20000000</v>
      </c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59"/>
      <c r="AB72" s="27">
        <f t="shared" si="82"/>
        <v>0.89853749999999999</v>
      </c>
      <c r="AC72" s="25">
        <f t="shared" si="68"/>
        <v>17970750</v>
      </c>
      <c r="AD72" s="25"/>
      <c r="AE72" s="25"/>
      <c r="AF72" s="25"/>
      <c r="AG72" s="25"/>
      <c r="AH72" s="25">
        <f>+'[1]AGOSTO 2016'!$G$2917</f>
        <v>17970750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7">
        <f t="shared" si="83"/>
        <v>0.10146250000000001</v>
      </c>
      <c r="AY72" s="25">
        <f t="shared" si="69"/>
        <v>2029250</v>
      </c>
      <c r="AZ72" s="25">
        <f t="shared" si="70"/>
        <v>0</v>
      </c>
      <c r="BA72" s="25">
        <f t="shared" si="70"/>
        <v>0</v>
      </c>
      <c r="BB72" s="25">
        <f t="shared" si="70"/>
        <v>0</v>
      </c>
      <c r="BC72" s="25">
        <f t="shared" si="86"/>
        <v>2029250</v>
      </c>
      <c r="BD72" s="25">
        <f t="shared" si="86"/>
        <v>0</v>
      </c>
      <c r="BE72" s="25">
        <f t="shared" si="86"/>
        <v>0</v>
      </c>
      <c r="BF72" s="25">
        <f t="shared" si="86"/>
        <v>0</v>
      </c>
      <c r="BG72" s="25">
        <f t="shared" si="86"/>
        <v>0</v>
      </c>
      <c r="BH72" s="25">
        <f t="shared" si="86"/>
        <v>0</v>
      </c>
      <c r="BI72" s="25">
        <f t="shared" si="86"/>
        <v>0</v>
      </c>
      <c r="BJ72" s="25">
        <f t="shared" si="86"/>
        <v>0</v>
      </c>
      <c r="BK72" s="25">
        <f t="shared" si="86"/>
        <v>0</v>
      </c>
      <c r="BL72" s="25">
        <f t="shared" si="86"/>
        <v>0</v>
      </c>
      <c r="BM72" s="25">
        <f t="shared" si="86"/>
        <v>0</v>
      </c>
      <c r="BN72" s="25">
        <f t="shared" si="86"/>
        <v>0</v>
      </c>
      <c r="BO72" s="25"/>
      <c r="BP72" s="25"/>
      <c r="BQ72" s="25">
        <f t="shared" si="72"/>
        <v>0</v>
      </c>
      <c r="BR72" s="25">
        <f t="shared" si="87"/>
        <v>0</v>
      </c>
      <c r="BS72" s="27">
        <f t="shared" si="84"/>
        <v>0.89853749999999999</v>
      </c>
      <c r="BT72" s="25">
        <f t="shared" si="74"/>
        <v>17970750</v>
      </c>
      <c r="BU72" s="25"/>
      <c r="BV72" s="25"/>
      <c r="BW72" s="25"/>
      <c r="BX72" s="25"/>
      <c r="BY72" s="25">
        <f>+'[4]ENERO 2016'!$H$769</f>
        <v>17970750</v>
      </c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7">
        <f t="shared" si="75"/>
        <v>0.10146250000000001</v>
      </c>
      <c r="CP72" s="25">
        <f t="shared" si="76"/>
        <v>2029250</v>
      </c>
      <c r="CQ72" s="25">
        <f t="shared" si="77"/>
        <v>0</v>
      </c>
      <c r="CR72" s="25">
        <f t="shared" si="77"/>
        <v>0</v>
      </c>
      <c r="CS72" s="25">
        <f t="shared" si="77"/>
        <v>0</v>
      </c>
      <c r="CT72" s="25">
        <f t="shared" si="77"/>
        <v>2029250</v>
      </c>
      <c r="CU72" s="25">
        <f t="shared" si="77"/>
        <v>0</v>
      </c>
      <c r="CV72" s="25">
        <f t="shared" si="77"/>
        <v>0</v>
      </c>
      <c r="CW72" s="25">
        <f t="shared" si="88"/>
        <v>0</v>
      </c>
      <c r="CX72" s="25">
        <f t="shared" si="88"/>
        <v>0</v>
      </c>
      <c r="CY72" s="25">
        <f t="shared" si="88"/>
        <v>0</v>
      </c>
      <c r="CZ72" s="25">
        <f t="shared" si="79"/>
        <v>0</v>
      </c>
      <c r="DA72" s="25">
        <f t="shared" si="79"/>
        <v>0</v>
      </c>
      <c r="DB72" s="25">
        <f t="shared" si="79"/>
        <v>0</v>
      </c>
      <c r="DC72" s="25">
        <f t="shared" si="89"/>
        <v>0</v>
      </c>
      <c r="DD72" s="25">
        <f t="shared" si="89"/>
        <v>0</v>
      </c>
      <c r="DE72" s="25">
        <f t="shared" si="89"/>
        <v>0</v>
      </c>
      <c r="DF72" s="25"/>
      <c r="DG72" s="25">
        <f t="shared" si="90"/>
        <v>0</v>
      </c>
      <c r="DH72" s="56">
        <f t="shared" si="90"/>
        <v>0</v>
      </c>
      <c r="DI72" s="25">
        <f t="shared" si="90"/>
        <v>0</v>
      </c>
    </row>
    <row r="73" spans="1:113" ht="33.75" customHeight="1" x14ac:dyDescent="0.25">
      <c r="A73" s="184"/>
      <c r="B73" s="198"/>
      <c r="C73" s="21" t="s">
        <v>217</v>
      </c>
      <c r="D73" s="22" t="s">
        <v>218</v>
      </c>
      <c r="E73" s="23">
        <v>520</v>
      </c>
      <c r="F73" s="24" t="s">
        <v>76</v>
      </c>
      <c r="G73" s="25">
        <f t="shared" si="67"/>
        <v>1000000</v>
      </c>
      <c r="H73" s="36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>
        <f>3000000-2000000</f>
        <v>1000000</v>
      </c>
      <c r="AA73" s="59"/>
      <c r="AB73" s="27">
        <f t="shared" si="82"/>
        <v>1</v>
      </c>
      <c r="AC73" s="25">
        <f t="shared" si="68"/>
        <v>1000000</v>
      </c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>
        <f>+'[3]ABRIL 2016'!$G$1547</f>
        <v>1000000</v>
      </c>
      <c r="AX73" s="27">
        <f t="shared" si="83"/>
        <v>0</v>
      </c>
      <c r="AY73" s="25">
        <f t="shared" si="69"/>
        <v>0</v>
      </c>
      <c r="AZ73" s="25">
        <f t="shared" si="70"/>
        <v>0</v>
      </c>
      <c r="BA73" s="25">
        <f t="shared" si="70"/>
        <v>0</v>
      </c>
      <c r="BB73" s="25">
        <f t="shared" si="70"/>
        <v>0</v>
      </c>
      <c r="BC73" s="25">
        <f t="shared" si="86"/>
        <v>0</v>
      </c>
      <c r="BD73" s="25">
        <f t="shared" si="86"/>
        <v>0</v>
      </c>
      <c r="BE73" s="25">
        <f t="shared" si="86"/>
        <v>0</v>
      </c>
      <c r="BF73" s="25">
        <f t="shared" si="86"/>
        <v>0</v>
      </c>
      <c r="BG73" s="25">
        <f t="shared" si="86"/>
        <v>0</v>
      </c>
      <c r="BH73" s="25">
        <f t="shared" si="86"/>
        <v>0</v>
      </c>
      <c r="BI73" s="25">
        <f t="shared" si="86"/>
        <v>0</v>
      </c>
      <c r="BJ73" s="25">
        <f t="shared" si="86"/>
        <v>0</v>
      </c>
      <c r="BK73" s="25">
        <f t="shared" si="86"/>
        <v>0</v>
      </c>
      <c r="BL73" s="25">
        <f t="shared" si="86"/>
        <v>0</v>
      </c>
      <c r="BM73" s="25">
        <f t="shared" si="86"/>
        <v>0</v>
      </c>
      <c r="BN73" s="25">
        <f t="shared" si="86"/>
        <v>0</v>
      </c>
      <c r="BO73" s="25"/>
      <c r="BP73" s="25"/>
      <c r="BQ73" s="25">
        <f t="shared" si="72"/>
        <v>0</v>
      </c>
      <c r="BR73" s="25">
        <f t="shared" si="87"/>
        <v>0</v>
      </c>
      <c r="BS73" s="27">
        <f t="shared" si="84"/>
        <v>1</v>
      </c>
      <c r="BT73" s="25">
        <f t="shared" si="74"/>
        <v>1000000</v>
      </c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>
        <f>+'[3]ABRIL 2016'!$H$1547</f>
        <v>1000000</v>
      </c>
      <c r="CO73" s="27">
        <f t="shared" si="75"/>
        <v>0</v>
      </c>
      <c r="CP73" s="25">
        <f t="shared" si="76"/>
        <v>0</v>
      </c>
      <c r="CQ73" s="25">
        <f t="shared" si="77"/>
        <v>0</v>
      </c>
      <c r="CR73" s="25">
        <f t="shared" si="77"/>
        <v>0</v>
      </c>
      <c r="CS73" s="25">
        <f t="shared" si="77"/>
        <v>0</v>
      </c>
      <c r="CT73" s="25">
        <f t="shared" si="77"/>
        <v>0</v>
      </c>
      <c r="CU73" s="25">
        <f t="shared" si="77"/>
        <v>0</v>
      </c>
      <c r="CV73" s="25">
        <f t="shared" si="77"/>
        <v>0</v>
      </c>
      <c r="CW73" s="25">
        <f t="shared" si="88"/>
        <v>0</v>
      </c>
      <c r="CX73" s="25">
        <f t="shared" si="88"/>
        <v>0</v>
      </c>
      <c r="CY73" s="25">
        <f t="shared" si="88"/>
        <v>0</v>
      </c>
      <c r="CZ73" s="25">
        <f t="shared" si="79"/>
        <v>0</v>
      </c>
      <c r="DA73" s="25">
        <f t="shared" si="79"/>
        <v>0</v>
      </c>
      <c r="DB73" s="25">
        <f t="shared" si="79"/>
        <v>0</v>
      </c>
      <c r="DC73" s="25">
        <f t="shared" si="89"/>
        <v>0</v>
      </c>
      <c r="DD73" s="25">
        <f t="shared" si="89"/>
        <v>0</v>
      </c>
      <c r="DE73" s="25">
        <f t="shared" si="89"/>
        <v>0</v>
      </c>
      <c r="DF73" s="25"/>
      <c r="DG73" s="25">
        <f t="shared" si="90"/>
        <v>0</v>
      </c>
      <c r="DH73" s="56">
        <f t="shared" si="90"/>
        <v>0</v>
      </c>
      <c r="DI73" s="25">
        <f t="shared" si="90"/>
        <v>0</v>
      </c>
    </row>
    <row r="74" spans="1:113" ht="33" customHeight="1" x14ac:dyDescent="0.25">
      <c r="A74" s="184"/>
      <c r="B74" s="198"/>
      <c r="C74" s="21" t="s">
        <v>219</v>
      </c>
      <c r="D74" s="22" t="s">
        <v>220</v>
      </c>
      <c r="E74" s="23">
        <v>520</v>
      </c>
      <c r="F74" s="24" t="s">
        <v>91</v>
      </c>
      <c r="G74" s="25">
        <f t="shared" si="67"/>
        <v>5000000</v>
      </c>
      <c r="H74" s="36"/>
      <c r="I74" s="25"/>
      <c r="J74" s="25"/>
      <c r="K74" s="25">
        <v>5000000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59"/>
      <c r="AB74" s="27">
        <f t="shared" si="82"/>
        <v>0</v>
      </c>
      <c r="AC74" s="25">
        <f t="shared" si="68"/>
        <v>0</v>
      </c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7">
        <f t="shared" si="83"/>
        <v>1</v>
      </c>
      <c r="AY74" s="25">
        <f t="shared" si="69"/>
        <v>5000000</v>
      </c>
      <c r="AZ74" s="25">
        <f t="shared" si="70"/>
        <v>0</v>
      </c>
      <c r="BA74" s="25">
        <f t="shared" si="70"/>
        <v>0</v>
      </c>
      <c r="BB74" s="25">
        <f t="shared" si="70"/>
        <v>0</v>
      </c>
      <c r="BC74" s="25">
        <f t="shared" si="86"/>
        <v>5000000</v>
      </c>
      <c r="BD74" s="25"/>
      <c r="BE74" s="25"/>
      <c r="BF74" s="25"/>
      <c r="BG74" s="25"/>
      <c r="BH74" s="25"/>
      <c r="BI74" s="25">
        <f t="shared" si="86"/>
        <v>0</v>
      </c>
      <c r="BJ74" s="25">
        <f t="shared" si="86"/>
        <v>0</v>
      </c>
      <c r="BK74" s="25">
        <f t="shared" si="86"/>
        <v>0</v>
      </c>
      <c r="BL74" s="25"/>
      <c r="BM74" s="25">
        <f t="shared" si="86"/>
        <v>0</v>
      </c>
      <c r="BN74" s="25">
        <f t="shared" si="86"/>
        <v>0</v>
      </c>
      <c r="BO74" s="25"/>
      <c r="BP74" s="25"/>
      <c r="BQ74" s="25">
        <f t="shared" si="72"/>
        <v>0</v>
      </c>
      <c r="BR74" s="25">
        <f t="shared" si="87"/>
        <v>0</v>
      </c>
      <c r="BS74" s="27">
        <f t="shared" si="84"/>
        <v>0</v>
      </c>
      <c r="BT74" s="25">
        <f t="shared" si="74"/>
        <v>0</v>
      </c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7">
        <f t="shared" si="75"/>
        <v>1</v>
      </c>
      <c r="CP74" s="25">
        <f t="shared" si="76"/>
        <v>5000000</v>
      </c>
      <c r="CQ74" s="25">
        <f t="shared" si="77"/>
        <v>0</v>
      </c>
      <c r="CR74" s="25">
        <f t="shared" si="77"/>
        <v>0</v>
      </c>
      <c r="CS74" s="25">
        <f t="shared" si="77"/>
        <v>0</v>
      </c>
      <c r="CT74" s="25">
        <f t="shared" si="77"/>
        <v>5000000</v>
      </c>
      <c r="CU74" s="25"/>
      <c r="CV74" s="25"/>
      <c r="CW74" s="25"/>
      <c r="CX74" s="25"/>
      <c r="CY74" s="25"/>
      <c r="CZ74" s="25">
        <f t="shared" si="79"/>
        <v>0</v>
      </c>
      <c r="DA74" s="25">
        <f t="shared" si="79"/>
        <v>0</v>
      </c>
      <c r="DB74" s="25">
        <f t="shared" si="79"/>
        <v>0</v>
      </c>
      <c r="DC74" s="25">
        <f t="shared" si="89"/>
        <v>0</v>
      </c>
      <c r="DD74" s="25">
        <f t="shared" si="89"/>
        <v>0</v>
      </c>
      <c r="DE74" s="25">
        <f t="shared" si="89"/>
        <v>0</v>
      </c>
      <c r="DF74" s="25"/>
      <c r="DG74" s="25"/>
      <c r="DH74" s="56"/>
      <c r="DI74" s="25">
        <f t="shared" si="90"/>
        <v>0</v>
      </c>
    </row>
    <row r="75" spans="1:113" ht="22.5" customHeight="1" x14ac:dyDescent="0.25">
      <c r="A75" s="184"/>
      <c r="B75" s="198"/>
      <c r="C75" s="21" t="s">
        <v>221</v>
      </c>
      <c r="D75" s="22" t="s">
        <v>222</v>
      </c>
      <c r="E75" s="23">
        <v>520</v>
      </c>
      <c r="F75" s="24" t="s">
        <v>91</v>
      </c>
      <c r="G75" s="25">
        <f t="shared" si="67"/>
        <v>5000000</v>
      </c>
      <c r="H75" s="36"/>
      <c r="I75" s="25"/>
      <c r="J75" s="25"/>
      <c r="K75" s="25">
        <v>5000000</v>
      </c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59"/>
      <c r="AB75" s="27">
        <f t="shared" si="82"/>
        <v>0</v>
      </c>
      <c r="AC75" s="25">
        <f t="shared" si="68"/>
        <v>0</v>
      </c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7">
        <f t="shared" si="83"/>
        <v>1</v>
      </c>
      <c r="AY75" s="25">
        <f t="shared" si="69"/>
        <v>5000000</v>
      </c>
      <c r="AZ75" s="25">
        <f t="shared" si="70"/>
        <v>0</v>
      </c>
      <c r="BA75" s="25">
        <f t="shared" si="70"/>
        <v>0</v>
      </c>
      <c r="BB75" s="25">
        <f t="shared" si="70"/>
        <v>0</v>
      </c>
      <c r="BC75" s="25">
        <f t="shared" si="86"/>
        <v>5000000</v>
      </c>
      <c r="BD75" s="25"/>
      <c r="BE75" s="25"/>
      <c r="BF75" s="25"/>
      <c r="BG75" s="25"/>
      <c r="BH75" s="25"/>
      <c r="BI75" s="25">
        <f t="shared" si="86"/>
        <v>0</v>
      </c>
      <c r="BJ75" s="25">
        <f t="shared" si="86"/>
        <v>0</v>
      </c>
      <c r="BK75" s="25">
        <f t="shared" si="86"/>
        <v>0</v>
      </c>
      <c r="BL75" s="25"/>
      <c r="BM75" s="25">
        <f t="shared" si="86"/>
        <v>0</v>
      </c>
      <c r="BN75" s="25">
        <f t="shared" si="86"/>
        <v>0</v>
      </c>
      <c r="BO75" s="25"/>
      <c r="BP75" s="25"/>
      <c r="BQ75" s="25">
        <f t="shared" si="72"/>
        <v>0</v>
      </c>
      <c r="BR75" s="25">
        <f t="shared" si="87"/>
        <v>0</v>
      </c>
      <c r="BS75" s="27">
        <f t="shared" si="84"/>
        <v>0</v>
      </c>
      <c r="BT75" s="25">
        <f t="shared" si="74"/>
        <v>0</v>
      </c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7">
        <f t="shared" si="75"/>
        <v>1</v>
      </c>
      <c r="CP75" s="25">
        <f t="shared" si="76"/>
        <v>5000000</v>
      </c>
      <c r="CQ75" s="25">
        <f t="shared" ref="CQ75:CV90" si="91">H75-BV75</f>
        <v>0</v>
      </c>
      <c r="CR75" s="25">
        <f t="shared" si="91"/>
        <v>0</v>
      </c>
      <c r="CS75" s="25">
        <f t="shared" si="91"/>
        <v>0</v>
      </c>
      <c r="CT75" s="25">
        <f t="shared" si="91"/>
        <v>5000000</v>
      </c>
      <c r="CU75" s="25"/>
      <c r="CV75" s="25"/>
      <c r="CW75" s="25"/>
      <c r="CX75" s="25"/>
      <c r="CY75" s="25"/>
      <c r="CZ75" s="25">
        <f t="shared" si="79"/>
        <v>0</v>
      </c>
      <c r="DA75" s="25">
        <f t="shared" si="79"/>
        <v>0</v>
      </c>
      <c r="DB75" s="25">
        <f t="shared" si="79"/>
        <v>0</v>
      </c>
      <c r="DC75" s="25">
        <f t="shared" si="89"/>
        <v>0</v>
      </c>
      <c r="DD75" s="25">
        <f t="shared" si="89"/>
        <v>0</v>
      </c>
      <c r="DE75" s="25">
        <f t="shared" si="89"/>
        <v>0</v>
      </c>
      <c r="DF75" s="25"/>
      <c r="DG75" s="25"/>
      <c r="DH75" s="56"/>
      <c r="DI75" s="25">
        <f t="shared" si="90"/>
        <v>0</v>
      </c>
    </row>
    <row r="76" spans="1:113" ht="21" customHeight="1" x14ac:dyDescent="0.25">
      <c r="A76" s="184"/>
      <c r="B76" s="198"/>
      <c r="C76" s="21" t="s">
        <v>223</v>
      </c>
      <c r="D76" s="22" t="s">
        <v>224</v>
      </c>
      <c r="E76" s="23">
        <v>520</v>
      </c>
      <c r="F76" s="24" t="s">
        <v>91</v>
      </c>
      <c r="G76" s="25">
        <f t="shared" si="67"/>
        <v>15000000</v>
      </c>
      <c r="H76" s="36"/>
      <c r="I76" s="25"/>
      <c r="J76" s="25"/>
      <c r="K76" s="25">
        <f>5000000+10000000</f>
        <v>15000000</v>
      </c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59"/>
      <c r="AB76" s="27">
        <f t="shared" si="82"/>
        <v>0.92977500000000002</v>
      </c>
      <c r="AC76" s="25">
        <f t="shared" si="68"/>
        <v>13946625</v>
      </c>
      <c r="AD76" s="25"/>
      <c r="AE76" s="25"/>
      <c r="AF76" s="25"/>
      <c r="AG76" s="25"/>
      <c r="AH76" s="25">
        <f>+'[3]ABRIL 2016'!$G$1562</f>
        <v>13946625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7">
        <f t="shared" si="83"/>
        <v>7.0224999999999982E-2</v>
      </c>
      <c r="AY76" s="25">
        <f t="shared" si="69"/>
        <v>1053375</v>
      </c>
      <c r="AZ76" s="25">
        <f t="shared" si="70"/>
        <v>0</v>
      </c>
      <c r="BA76" s="25">
        <f t="shared" si="70"/>
        <v>0</v>
      </c>
      <c r="BB76" s="25">
        <f t="shared" si="70"/>
        <v>0</v>
      </c>
      <c r="BC76" s="25">
        <f t="shared" si="86"/>
        <v>1053375</v>
      </c>
      <c r="BD76" s="25"/>
      <c r="BE76" s="25"/>
      <c r="BF76" s="25"/>
      <c r="BG76" s="25"/>
      <c r="BH76" s="25"/>
      <c r="BI76" s="25">
        <f t="shared" si="86"/>
        <v>0</v>
      </c>
      <c r="BJ76" s="25">
        <f t="shared" si="86"/>
        <v>0</v>
      </c>
      <c r="BK76" s="25">
        <f t="shared" si="86"/>
        <v>0</v>
      </c>
      <c r="BL76" s="25">
        <f t="shared" si="86"/>
        <v>0</v>
      </c>
      <c r="BM76" s="25">
        <f t="shared" si="86"/>
        <v>0</v>
      </c>
      <c r="BN76" s="25">
        <f t="shared" si="86"/>
        <v>0</v>
      </c>
      <c r="BO76" s="25"/>
      <c r="BP76" s="25"/>
      <c r="BQ76" s="25">
        <f t="shared" si="72"/>
        <v>0</v>
      </c>
      <c r="BR76" s="25">
        <f t="shared" si="87"/>
        <v>0</v>
      </c>
      <c r="BS76" s="27">
        <f t="shared" si="84"/>
        <v>0.92977500000000002</v>
      </c>
      <c r="BT76" s="25">
        <f t="shared" si="74"/>
        <v>13946625</v>
      </c>
      <c r="BU76" s="25"/>
      <c r="BV76" s="25"/>
      <c r="BW76" s="25"/>
      <c r="BX76" s="25"/>
      <c r="BY76" s="25">
        <v>13946625</v>
      </c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7">
        <f t="shared" si="75"/>
        <v>7.0224999999999982E-2</v>
      </c>
      <c r="CP76" s="25">
        <f t="shared" si="76"/>
        <v>1053375</v>
      </c>
      <c r="CQ76" s="25">
        <f t="shared" si="91"/>
        <v>0</v>
      </c>
      <c r="CR76" s="25">
        <f t="shared" si="91"/>
        <v>0</v>
      </c>
      <c r="CS76" s="25">
        <f t="shared" si="91"/>
        <v>0</v>
      </c>
      <c r="CT76" s="25">
        <f t="shared" si="91"/>
        <v>1053375</v>
      </c>
      <c r="CU76" s="25"/>
      <c r="CV76" s="25"/>
      <c r="CW76" s="25"/>
      <c r="CX76" s="25"/>
      <c r="CY76" s="25"/>
      <c r="CZ76" s="25">
        <f t="shared" si="79"/>
        <v>0</v>
      </c>
      <c r="DA76" s="25">
        <f t="shared" si="79"/>
        <v>0</v>
      </c>
      <c r="DB76" s="25">
        <f t="shared" si="79"/>
        <v>0</v>
      </c>
      <c r="DC76" s="25">
        <f t="shared" si="89"/>
        <v>0</v>
      </c>
      <c r="DD76" s="25">
        <f t="shared" si="89"/>
        <v>0</v>
      </c>
      <c r="DE76" s="25">
        <f t="shared" si="89"/>
        <v>0</v>
      </c>
      <c r="DF76" s="25"/>
      <c r="DG76" s="25"/>
      <c r="DH76" s="56"/>
      <c r="DI76" s="25">
        <f t="shared" si="90"/>
        <v>0</v>
      </c>
    </row>
    <row r="77" spans="1:113" ht="21.75" customHeight="1" x14ac:dyDescent="0.25">
      <c r="A77" s="184"/>
      <c r="B77" s="199"/>
      <c r="C77" s="21" t="s">
        <v>225</v>
      </c>
      <c r="D77" s="22" t="s">
        <v>226</v>
      </c>
      <c r="E77" s="23">
        <v>520</v>
      </c>
      <c r="F77" s="24" t="s">
        <v>91</v>
      </c>
      <c r="G77" s="25">
        <f t="shared" si="67"/>
        <v>5000000</v>
      </c>
      <c r="H77" s="36"/>
      <c r="I77" s="25"/>
      <c r="J77" s="25"/>
      <c r="K77" s="25">
        <v>5000000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59"/>
      <c r="AB77" s="27">
        <f t="shared" si="82"/>
        <v>0.74168699999999999</v>
      </c>
      <c r="AC77" s="25">
        <f t="shared" si="68"/>
        <v>3708435</v>
      </c>
      <c r="AD77" s="25"/>
      <c r="AE77" s="25"/>
      <c r="AF77" s="25"/>
      <c r="AG77" s="25"/>
      <c r="AH77" s="25">
        <f>+'[1]AGOSTO 2016'!$O$2947</f>
        <v>3708435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7">
        <f t="shared" si="83"/>
        <v>0.25831300000000001</v>
      </c>
      <c r="AY77" s="25">
        <f t="shared" si="69"/>
        <v>1291565</v>
      </c>
      <c r="AZ77" s="25">
        <f t="shared" si="70"/>
        <v>0</v>
      </c>
      <c r="BA77" s="25">
        <f t="shared" si="70"/>
        <v>0</v>
      </c>
      <c r="BB77" s="25">
        <f t="shared" si="70"/>
        <v>0</v>
      </c>
      <c r="BC77" s="25">
        <f t="shared" si="86"/>
        <v>1291565</v>
      </c>
      <c r="BD77" s="25"/>
      <c r="BE77" s="25"/>
      <c r="BF77" s="25"/>
      <c r="BG77" s="25"/>
      <c r="BH77" s="25"/>
      <c r="BI77" s="25">
        <f t="shared" si="86"/>
        <v>0</v>
      </c>
      <c r="BJ77" s="25">
        <f t="shared" si="86"/>
        <v>0</v>
      </c>
      <c r="BK77" s="25">
        <f t="shared" si="86"/>
        <v>0</v>
      </c>
      <c r="BL77" s="25">
        <f t="shared" si="86"/>
        <v>0</v>
      </c>
      <c r="BM77" s="25">
        <f t="shared" si="86"/>
        <v>0</v>
      </c>
      <c r="BN77" s="25">
        <f t="shared" si="86"/>
        <v>0</v>
      </c>
      <c r="BO77" s="25"/>
      <c r="BP77" s="25"/>
      <c r="BQ77" s="25">
        <f t="shared" si="72"/>
        <v>0</v>
      </c>
      <c r="BR77" s="25">
        <f t="shared" si="87"/>
        <v>0</v>
      </c>
      <c r="BS77" s="27">
        <f t="shared" si="84"/>
        <v>0.74168699999999999</v>
      </c>
      <c r="BT77" s="25">
        <f t="shared" si="74"/>
        <v>3708435</v>
      </c>
      <c r="BU77" s="25"/>
      <c r="BV77" s="25"/>
      <c r="BW77" s="25"/>
      <c r="BX77" s="25"/>
      <c r="BY77" s="25">
        <f>+'[1]AGOSTO 2016'!$H$2945</f>
        <v>3708435</v>
      </c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7">
        <f t="shared" si="75"/>
        <v>0.25831300000000001</v>
      </c>
      <c r="CP77" s="25">
        <f t="shared" si="76"/>
        <v>1291565</v>
      </c>
      <c r="CQ77" s="25">
        <f t="shared" si="91"/>
        <v>0</v>
      </c>
      <c r="CR77" s="25">
        <f t="shared" si="91"/>
        <v>0</v>
      </c>
      <c r="CS77" s="25">
        <f t="shared" si="91"/>
        <v>0</v>
      </c>
      <c r="CT77" s="25">
        <f t="shared" si="91"/>
        <v>1291565</v>
      </c>
      <c r="CU77" s="25"/>
      <c r="CV77" s="25"/>
      <c r="CW77" s="25"/>
      <c r="CX77" s="25"/>
      <c r="CY77" s="25"/>
      <c r="CZ77" s="25">
        <f t="shared" si="79"/>
        <v>0</v>
      </c>
      <c r="DA77" s="25">
        <f t="shared" si="79"/>
        <v>0</v>
      </c>
      <c r="DB77" s="25">
        <f t="shared" si="79"/>
        <v>0</v>
      </c>
      <c r="DC77" s="25">
        <f t="shared" si="89"/>
        <v>0</v>
      </c>
      <c r="DD77" s="25">
        <f t="shared" si="89"/>
        <v>0</v>
      </c>
      <c r="DE77" s="25">
        <f t="shared" si="89"/>
        <v>0</v>
      </c>
      <c r="DF77" s="25"/>
      <c r="DG77" s="25"/>
      <c r="DH77" s="56"/>
      <c r="DI77" s="25">
        <f t="shared" si="90"/>
        <v>0</v>
      </c>
    </row>
    <row r="78" spans="1:113" ht="34.5" customHeight="1" x14ac:dyDescent="0.25">
      <c r="A78" s="184"/>
      <c r="B78" s="186" t="s">
        <v>227</v>
      </c>
      <c r="C78" s="21" t="s">
        <v>228</v>
      </c>
      <c r="D78" s="22" t="s">
        <v>229</v>
      </c>
      <c r="E78" s="23">
        <v>520</v>
      </c>
      <c r="F78" s="24" t="s">
        <v>91</v>
      </c>
      <c r="G78" s="25">
        <f t="shared" si="67"/>
        <v>10000000</v>
      </c>
      <c r="H78" s="36"/>
      <c r="I78" s="25"/>
      <c r="J78" s="25"/>
      <c r="K78" s="25">
        <v>10000000</v>
      </c>
      <c r="L78" s="25"/>
      <c r="M78" s="25"/>
      <c r="N78" s="25"/>
      <c r="O78" s="25"/>
      <c r="P78" s="25"/>
      <c r="Q78" s="25"/>
      <c r="R78" s="25"/>
      <c r="S78" s="49"/>
      <c r="T78" s="25"/>
      <c r="U78" s="25"/>
      <c r="V78" s="25"/>
      <c r="W78" s="25"/>
      <c r="X78" s="25"/>
      <c r="Y78" s="25"/>
      <c r="Z78" s="25"/>
      <c r="AA78" s="59"/>
      <c r="AB78" s="27">
        <f t="shared" si="82"/>
        <v>1</v>
      </c>
      <c r="AC78" s="25">
        <f t="shared" si="68"/>
        <v>10000000</v>
      </c>
      <c r="AD78" s="25"/>
      <c r="AE78" s="25"/>
      <c r="AF78" s="25"/>
      <c r="AG78" s="25"/>
      <c r="AH78" s="25">
        <f>+'[6]JULIO 2016'!$O$2299</f>
        <v>10000000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7">
        <f t="shared" si="83"/>
        <v>0</v>
      </c>
      <c r="AY78" s="25">
        <f t="shared" si="69"/>
        <v>0</v>
      </c>
      <c r="AZ78" s="25">
        <f t="shared" si="70"/>
        <v>0</v>
      </c>
      <c r="BA78" s="25">
        <f t="shared" si="70"/>
        <v>0</v>
      </c>
      <c r="BB78" s="25">
        <f t="shared" si="70"/>
        <v>0</v>
      </c>
      <c r="BC78" s="25">
        <f t="shared" si="86"/>
        <v>0</v>
      </c>
      <c r="BD78" s="25">
        <f t="shared" si="86"/>
        <v>0</v>
      </c>
      <c r="BE78" s="25">
        <f t="shared" si="86"/>
        <v>0</v>
      </c>
      <c r="BF78" s="25">
        <f t="shared" si="86"/>
        <v>0</v>
      </c>
      <c r="BG78" s="25">
        <f t="shared" si="86"/>
        <v>0</v>
      </c>
      <c r="BH78" s="25">
        <f t="shared" si="86"/>
        <v>0</v>
      </c>
      <c r="BI78" s="25">
        <f t="shared" si="86"/>
        <v>0</v>
      </c>
      <c r="BJ78" s="25">
        <f t="shared" si="86"/>
        <v>0</v>
      </c>
      <c r="BK78" s="25">
        <f t="shared" si="86"/>
        <v>0</v>
      </c>
      <c r="BL78" s="25">
        <f t="shared" si="86"/>
        <v>0</v>
      </c>
      <c r="BM78" s="25">
        <f t="shared" si="86"/>
        <v>0</v>
      </c>
      <c r="BN78" s="25">
        <f t="shared" si="86"/>
        <v>0</v>
      </c>
      <c r="BO78" s="25"/>
      <c r="BP78" s="25"/>
      <c r="BQ78" s="25">
        <f t="shared" si="72"/>
        <v>0</v>
      </c>
      <c r="BR78" s="25">
        <f t="shared" si="87"/>
        <v>0</v>
      </c>
      <c r="BS78" s="27">
        <f t="shared" si="84"/>
        <v>1</v>
      </c>
      <c r="BT78" s="25">
        <f t="shared" si="74"/>
        <v>10000000</v>
      </c>
      <c r="BU78" s="25"/>
      <c r="BV78" s="25"/>
      <c r="BW78" s="25"/>
      <c r="BX78" s="25"/>
      <c r="BY78" s="25">
        <f>+'[6]JULIO 2016'!$H$2297</f>
        <v>10000000</v>
      </c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7">
        <f t="shared" si="75"/>
        <v>0</v>
      </c>
      <c r="CP78" s="25">
        <f t="shared" si="76"/>
        <v>0</v>
      </c>
      <c r="CQ78" s="25">
        <f t="shared" si="91"/>
        <v>0</v>
      </c>
      <c r="CR78" s="25">
        <f t="shared" si="91"/>
        <v>0</v>
      </c>
      <c r="CS78" s="25">
        <f t="shared" si="91"/>
        <v>0</v>
      </c>
      <c r="CT78" s="25">
        <f t="shared" si="91"/>
        <v>0</v>
      </c>
      <c r="CU78" s="25">
        <f t="shared" si="91"/>
        <v>0</v>
      </c>
      <c r="CV78" s="25">
        <f t="shared" si="91"/>
        <v>0</v>
      </c>
      <c r="CW78" s="25">
        <f t="shared" ref="CW78:CY82" si="92">+N78-CB78</f>
        <v>0</v>
      </c>
      <c r="CX78" s="25">
        <f t="shared" si="92"/>
        <v>0</v>
      </c>
      <c r="CY78" s="25">
        <f t="shared" si="92"/>
        <v>0</v>
      </c>
      <c r="CZ78" s="25">
        <f t="shared" si="79"/>
        <v>0</v>
      </c>
      <c r="DA78" s="25">
        <f t="shared" si="79"/>
        <v>0</v>
      </c>
      <c r="DB78" s="25">
        <f t="shared" si="79"/>
        <v>0</v>
      </c>
      <c r="DC78" s="25">
        <f t="shared" si="89"/>
        <v>0</v>
      </c>
      <c r="DD78" s="25">
        <f t="shared" si="89"/>
        <v>0</v>
      </c>
      <c r="DE78" s="25">
        <f t="shared" si="89"/>
        <v>0</v>
      </c>
      <c r="DF78" s="25"/>
      <c r="DG78" s="25">
        <f t="shared" ref="DG78:DH82" si="93">+X78-CL78</f>
        <v>0</v>
      </c>
      <c r="DH78" s="56">
        <f t="shared" si="93"/>
        <v>0</v>
      </c>
      <c r="DI78" s="25">
        <f t="shared" si="90"/>
        <v>0</v>
      </c>
    </row>
    <row r="79" spans="1:113" ht="30.75" customHeight="1" x14ac:dyDescent="0.25">
      <c r="A79" s="184"/>
      <c r="B79" s="188"/>
      <c r="C79" s="21" t="s">
        <v>230</v>
      </c>
      <c r="D79" s="22" t="s">
        <v>231</v>
      </c>
      <c r="E79" s="23">
        <v>520</v>
      </c>
      <c r="F79" s="24" t="s">
        <v>91</v>
      </c>
      <c r="G79" s="25">
        <f>SUM(H79:Z79)</f>
        <v>10000000</v>
      </c>
      <c r="H79" s="36"/>
      <c r="I79" s="36"/>
      <c r="J79" s="36"/>
      <c r="K79" s="25">
        <v>10000000</v>
      </c>
      <c r="L79" s="36"/>
      <c r="M79" s="36"/>
      <c r="N79" s="36"/>
      <c r="O79" s="36"/>
      <c r="P79" s="36"/>
      <c r="Q79" s="30"/>
      <c r="R79" s="36"/>
      <c r="S79" s="49"/>
      <c r="T79" s="36"/>
      <c r="U79" s="36"/>
      <c r="V79" s="36"/>
      <c r="W79" s="36"/>
      <c r="X79" s="36"/>
      <c r="Y79" s="36"/>
      <c r="Z79" s="66"/>
      <c r="AA79" s="59"/>
      <c r="AB79" s="27">
        <f t="shared" si="82"/>
        <v>1</v>
      </c>
      <c r="AC79" s="25">
        <f t="shared" si="68"/>
        <v>10000000</v>
      </c>
      <c r="AD79" s="25"/>
      <c r="AE79" s="25"/>
      <c r="AF79" s="25"/>
      <c r="AG79" s="25"/>
      <c r="AH79" s="25">
        <f>+'[6]JULIO 2016'!$O$2306</f>
        <v>10000000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7">
        <f t="shared" si="83"/>
        <v>0</v>
      </c>
      <c r="AY79" s="25">
        <f t="shared" si="69"/>
        <v>0</v>
      </c>
      <c r="AZ79" s="25">
        <f t="shared" si="70"/>
        <v>0</v>
      </c>
      <c r="BA79" s="25">
        <f t="shared" si="70"/>
        <v>0</v>
      </c>
      <c r="BB79" s="25">
        <f t="shared" si="70"/>
        <v>0</v>
      </c>
      <c r="BC79" s="25">
        <f t="shared" si="86"/>
        <v>0</v>
      </c>
      <c r="BD79" s="25">
        <f t="shared" si="86"/>
        <v>0</v>
      </c>
      <c r="BE79" s="25">
        <f t="shared" si="86"/>
        <v>0</v>
      </c>
      <c r="BF79" s="25">
        <f t="shared" si="86"/>
        <v>0</v>
      </c>
      <c r="BG79" s="25">
        <f t="shared" si="86"/>
        <v>0</v>
      </c>
      <c r="BH79" s="25">
        <f t="shared" si="86"/>
        <v>0</v>
      </c>
      <c r="BI79" s="25">
        <f t="shared" si="86"/>
        <v>0</v>
      </c>
      <c r="BJ79" s="25">
        <f t="shared" si="86"/>
        <v>0</v>
      </c>
      <c r="BK79" s="25">
        <f t="shared" si="86"/>
        <v>0</v>
      </c>
      <c r="BL79" s="25">
        <f t="shared" si="86"/>
        <v>0</v>
      </c>
      <c r="BM79" s="25">
        <f t="shared" si="86"/>
        <v>0</v>
      </c>
      <c r="BN79" s="25">
        <f t="shared" si="86"/>
        <v>0</v>
      </c>
      <c r="BO79" s="25"/>
      <c r="BP79" s="25"/>
      <c r="BQ79" s="25">
        <f t="shared" si="72"/>
        <v>0</v>
      </c>
      <c r="BR79" s="25">
        <f t="shared" si="87"/>
        <v>0</v>
      </c>
      <c r="BS79" s="27">
        <f t="shared" si="84"/>
        <v>0</v>
      </c>
      <c r="BT79" s="25">
        <f t="shared" si="74"/>
        <v>0</v>
      </c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7">
        <f t="shared" si="75"/>
        <v>1</v>
      </c>
      <c r="CP79" s="25">
        <f t="shared" si="76"/>
        <v>10000000</v>
      </c>
      <c r="CQ79" s="25">
        <f t="shared" si="91"/>
        <v>0</v>
      </c>
      <c r="CR79" s="25">
        <f t="shared" si="91"/>
        <v>0</v>
      </c>
      <c r="CS79" s="25">
        <f t="shared" si="91"/>
        <v>0</v>
      </c>
      <c r="CT79" s="25">
        <f t="shared" si="91"/>
        <v>10000000</v>
      </c>
      <c r="CU79" s="25">
        <f t="shared" si="91"/>
        <v>0</v>
      </c>
      <c r="CV79" s="25">
        <f t="shared" si="91"/>
        <v>0</v>
      </c>
      <c r="CW79" s="25">
        <f t="shared" si="92"/>
        <v>0</v>
      </c>
      <c r="CX79" s="25">
        <f t="shared" si="92"/>
        <v>0</v>
      </c>
      <c r="CY79" s="25">
        <f t="shared" si="92"/>
        <v>0</v>
      </c>
      <c r="CZ79" s="25">
        <f t="shared" si="79"/>
        <v>0</v>
      </c>
      <c r="DA79" s="25">
        <f t="shared" si="79"/>
        <v>0</v>
      </c>
      <c r="DB79" s="25">
        <f t="shared" si="79"/>
        <v>0</v>
      </c>
      <c r="DC79" s="25">
        <f t="shared" si="89"/>
        <v>0</v>
      </c>
      <c r="DD79" s="25">
        <f t="shared" si="89"/>
        <v>0</v>
      </c>
      <c r="DE79" s="25">
        <f t="shared" si="89"/>
        <v>0</v>
      </c>
      <c r="DF79" s="25"/>
      <c r="DG79" s="25">
        <f t="shared" si="93"/>
        <v>0</v>
      </c>
      <c r="DH79" s="56">
        <f t="shared" si="93"/>
        <v>0</v>
      </c>
      <c r="DI79" s="25">
        <f t="shared" si="90"/>
        <v>0</v>
      </c>
    </row>
    <row r="80" spans="1:113" ht="35.25" customHeight="1" x14ac:dyDescent="0.25">
      <c r="A80" s="184"/>
      <c r="B80" s="186" t="s">
        <v>232</v>
      </c>
      <c r="C80" s="21" t="s">
        <v>233</v>
      </c>
      <c r="D80" s="67" t="s">
        <v>234</v>
      </c>
      <c r="E80" s="23">
        <v>520</v>
      </c>
      <c r="F80" s="68" t="s">
        <v>91</v>
      </c>
      <c r="G80" s="25">
        <f t="shared" si="67"/>
        <v>15000000</v>
      </c>
      <c r="H80" s="36"/>
      <c r="I80" s="36"/>
      <c r="J80" s="36"/>
      <c r="K80" s="49">
        <v>10000000</v>
      </c>
      <c r="L80" s="36"/>
      <c r="M80" s="36"/>
      <c r="N80" s="36"/>
      <c r="O80" s="36"/>
      <c r="P80" s="36"/>
      <c r="Q80" s="30"/>
      <c r="R80" s="36"/>
      <c r="S80" s="49">
        <f>25000000-20000000</f>
        <v>5000000</v>
      </c>
      <c r="T80" s="36"/>
      <c r="U80" s="36"/>
      <c r="V80" s="36"/>
      <c r="W80" s="36"/>
      <c r="X80" s="36"/>
      <c r="Y80" s="36"/>
      <c r="Z80" s="66"/>
      <c r="AA80" s="59"/>
      <c r="AB80" s="27">
        <f t="shared" si="82"/>
        <v>0.97333333333333338</v>
      </c>
      <c r="AC80" s="25">
        <f t="shared" si="68"/>
        <v>14600000</v>
      </c>
      <c r="AD80" s="25"/>
      <c r="AE80" s="25"/>
      <c r="AF80" s="25"/>
      <c r="AG80" s="25"/>
      <c r="AH80" s="25">
        <f>+'[4]ENERO 2016'!$O$816</f>
        <v>10000000</v>
      </c>
      <c r="AI80" s="25"/>
      <c r="AJ80" s="25"/>
      <c r="AK80" s="25"/>
      <c r="AL80" s="25"/>
      <c r="AM80" s="25"/>
      <c r="AN80" s="25"/>
      <c r="AO80" s="25"/>
      <c r="AP80" s="25">
        <f>+'[1]AGOSTO 2016'!$W$2973</f>
        <v>4600000</v>
      </c>
      <c r="AQ80" s="25"/>
      <c r="AR80" s="25"/>
      <c r="AS80" s="25"/>
      <c r="AT80" s="25"/>
      <c r="AU80" s="25"/>
      <c r="AV80" s="25"/>
      <c r="AW80" s="25"/>
      <c r="AX80" s="27">
        <f t="shared" si="83"/>
        <v>2.6666666666666616E-2</v>
      </c>
      <c r="AY80" s="25">
        <f t="shared" si="69"/>
        <v>400000</v>
      </c>
      <c r="AZ80" s="25">
        <f t="shared" si="70"/>
        <v>0</v>
      </c>
      <c r="BA80" s="25">
        <f t="shared" si="70"/>
        <v>0</v>
      </c>
      <c r="BB80" s="25">
        <f t="shared" si="70"/>
        <v>0</v>
      </c>
      <c r="BC80" s="25">
        <f t="shared" si="86"/>
        <v>0</v>
      </c>
      <c r="BD80" s="25">
        <f t="shared" si="86"/>
        <v>0</v>
      </c>
      <c r="BE80" s="25">
        <f t="shared" si="86"/>
        <v>0</v>
      </c>
      <c r="BF80" s="25">
        <f t="shared" si="86"/>
        <v>0</v>
      </c>
      <c r="BG80" s="25">
        <f t="shared" si="86"/>
        <v>0</v>
      </c>
      <c r="BH80" s="25">
        <f t="shared" si="86"/>
        <v>0</v>
      </c>
      <c r="BI80" s="25">
        <f t="shared" si="86"/>
        <v>0</v>
      </c>
      <c r="BJ80" s="25">
        <f t="shared" si="86"/>
        <v>0</v>
      </c>
      <c r="BK80" s="25">
        <f t="shared" si="86"/>
        <v>400000</v>
      </c>
      <c r="BL80" s="25">
        <f t="shared" si="86"/>
        <v>0</v>
      </c>
      <c r="BM80" s="25">
        <f t="shared" si="86"/>
        <v>0</v>
      </c>
      <c r="BN80" s="25">
        <f t="shared" si="86"/>
        <v>0</v>
      </c>
      <c r="BO80" s="25"/>
      <c r="BP80" s="25"/>
      <c r="BQ80" s="25">
        <f t="shared" si="72"/>
        <v>0</v>
      </c>
      <c r="BR80" s="25">
        <f t="shared" si="87"/>
        <v>0</v>
      </c>
      <c r="BS80" s="27">
        <f t="shared" si="84"/>
        <v>0.97333333333333338</v>
      </c>
      <c r="BT80" s="25">
        <f t="shared" si="74"/>
        <v>14600000</v>
      </c>
      <c r="BU80" s="25"/>
      <c r="BV80" s="25"/>
      <c r="BW80" s="25"/>
      <c r="BX80" s="25"/>
      <c r="BY80" s="25">
        <v>10000000</v>
      </c>
      <c r="BZ80" s="25"/>
      <c r="CA80" s="25"/>
      <c r="CB80" s="25"/>
      <c r="CC80" s="25"/>
      <c r="CD80" s="25"/>
      <c r="CE80" s="25"/>
      <c r="CF80" s="25"/>
      <c r="CG80" s="25">
        <f>+'[1]AGOSTO 2016'!$W$2973</f>
        <v>4600000</v>
      </c>
      <c r="CH80" s="25"/>
      <c r="CI80" s="25"/>
      <c r="CJ80" s="25"/>
      <c r="CK80" s="25"/>
      <c r="CL80" s="25"/>
      <c r="CM80" s="25"/>
      <c r="CN80" s="25"/>
      <c r="CO80" s="27">
        <f t="shared" si="75"/>
        <v>2.6666666666666616E-2</v>
      </c>
      <c r="CP80" s="25">
        <f t="shared" si="76"/>
        <v>400000</v>
      </c>
      <c r="CQ80" s="25">
        <f t="shared" si="91"/>
        <v>0</v>
      </c>
      <c r="CR80" s="25">
        <f t="shared" si="91"/>
        <v>0</v>
      </c>
      <c r="CS80" s="25">
        <f t="shared" si="91"/>
        <v>0</v>
      </c>
      <c r="CT80" s="25">
        <f t="shared" si="91"/>
        <v>0</v>
      </c>
      <c r="CU80" s="25">
        <f t="shared" si="91"/>
        <v>0</v>
      </c>
      <c r="CV80" s="25">
        <f t="shared" si="91"/>
        <v>0</v>
      </c>
      <c r="CW80" s="25">
        <f t="shared" si="92"/>
        <v>0</v>
      </c>
      <c r="CX80" s="25">
        <f t="shared" si="92"/>
        <v>0</v>
      </c>
      <c r="CY80" s="25">
        <f t="shared" si="92"/>
        <v>0</v>
      </c>
      <c r="CZ80" s="25">
        <f t="shared" si="79"/>
        <v>0</v>
      </c>
      <c r="DA80" s="25">
        <f t="shared" si="79"/>
        <v>0</v>
      </c>
      <c r="DB80" s="25">
        <f t="shared" si="79"/>
        <v>400000</v>
      </c>
      <c r="DC80" s="25">
        <f t="shared" si="89"/>
        <v>0</v>
      </c>
      <c r="DD80" s="25">
        <f t="shared" si="89"/>
        <v>0</v>
      </c>
      <c r="DE80" s="25">
        <f t="shared" si="89"/>
        <v>0</v>
      </c>
      <c r="DF80" s="25"/>
      <c r="DG80" s="25">
        <f t="shared" si="93"/>
        <v>0</v>
      </c>
      <c r="DH80" s="56">
        <f t="shared" si="93"/>
        <v>0</v>
      </c>
      <c r="DI80" s="25">
        <f t="shared" si="90"/>
        <v>0</v>
      </c>
    </row>
    <row r="81" spans="1:113" ht="45" x14ac:dyDescent="0.25">
      <c r="A81" s="184"/>
      <c r="B81" s="187"/>
      <c r="C81" s="21" t="s">
        <v>235</v>
      </c>
      <c r="D81" s="67" t="s">
        <v>236</v>
      </c>
      <c r="E81" s="23">
        <v>520</v>
      </c>
      <c r="F81" s="68" t="s">
        <v>91</v>
      </c>
      <c r="G81" s="25">
        <f t="shared" si="67"/>
        <v>20000000</v>
      </c>
      <c r="H81" s="36"/>
      <c r="I81" s="36"/>
      <c r="J81" s="36"/>
      <c r="K81" s="49">
        <v>10000000</v>
      </c>
      <c r="L81" s="36"/>
      <c r="M81" s="36"/>
      <c r="N81" s="36"/>
      <c r="O81" s="36"/>
      <c r="P81" s="36"/>
      <c r="Q81" s="30"/>
      <c r="R81" s="36"/>
      <c r="S81" s="49">
        <v>10000000</v>
      </c>
      <c r="T81" s="36"/>
      <c r="U81" s="36"/>
      <c r="V81" s="36"/>
      <c r="W81" s="36"/>
      <c r="X81" s="36"/>
      <c r="Y81" s="36"/>
      <c r="Z81" s="66"/>
      <c r="AA81" s="59"/>
      <c r="AB81" s="27">
        <f t="shared" si="82"/>
        <v>0.22963120000000001</v>
      </c>
      <c r="AC81" s="25">
        <f t="shared" si="68"/>
        <v>4592624</v>
      </c>
      <c r="AD81" s="25"/>
      <c r="AE81" s="25"/>
      <c r="AF81" s="25"/>
      <c r="AG81" s="25"/>
      <c r="AH81" s="25">
        <f>+'[6]JULIO 2016'!$O$2320</f>
        <v>4592624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7">
        <f t="shared" si="83"/>
        <v>0.77036879999999996</v>
      </c>
      <c r="AY81" s="25">
        <f t="shared" si="69"/>
        <v>15407376</v>
      </c>
      <c r="AZ81" s="25">
        <f t="shared" si="70"/>
        <v>0</v>
      </c>
      <c r="BA81" s="25">
        <f t="shared" si="70"/>
        <v>0</v>
      </c>
      <c r="BB81" s="25">
        <f t="shared" si="70"/>
        <v>0</v>
      </c>
      <c r="BC81" s="25">
        <f t="shared" si="86"/>
        <v>5407376</v>
      </c>
      <c r="BD81" s="25">
        <f t="shared" si="86"/>
        <v>0</v>
      </c>
      <c r="BE81" s="25">
        <f t="shared" si="86"/>
        <v>0</v>
      </c>
      <c r="BF81" s="25">
        <f t="shared" si="86"/>
        <v>0</v>
      </c>
      <c r="BG81" s="25">
        <f t="shared" si="86"/>
        <v>0</v>
      </c>
      <c r="BH81" s="25">
        <f t="shared" si="86"/>
        <v>0</v>
      </c>
      <c r="BI81" s="25">
        <f t="shared" si="86"/>
        <v>0</v>
      </c>
      <c r="BJ81" s="25">
        <f t="shared" si="86"/>
        <v>0</v>
      </c>
      <c r="BK81" s="25">
        <f t="shared" si="86"/>
        <v>10000000</v>
      </c>
      <c r="BL81" s="25">
        <f t="shared" si="86"/>
        <v>0</v>
      </c>
      <c r="BM81" s="25">
        <f t="shared" si="86"/>
        <v>0</v>
      </c>
      <c r="BN81" s="25">
        <f t="shared" si="86"/>
        <v>0</v>
      </c>
      <c r="BO81" s="25"/>
      <c r="BP81" s="25"/>
      <c r="BQ81" s="25">
        <f t="shared" si="72"/>
        <v>0</v>
      </c>
      <c r="BR81" s="25">
        <f t="shared" si="87"/>
        <v>0</v>
      </c>
      <c r="BS81" s="27">
        <f t="shared" si="84"/>
        <v>0.22963120000000001</v>
      </c>
      <c r="BT81" s="25">
        <f t="shared" si="74"/>
        <v>4592624</v>
      </c>
      <c r="BU81" s="25"/>
      <c r="BV81" s="25"/>
      <c r="BW81" s="25"/>
      <c r="BX81" s="25"/>
      <c r="BY81" s="25">
        <f>+'[1]AGOSTO 2016'!$H$2978</f>
        <v>4592624</v>
      </c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7">
        <f t="shared" si="75"/>
        <v>0.77036879999999996</v>
      </c>
      <c r="CP81" s="25">
        <f t="shared" si="76"/>
        <v>15407376</v>
      </c>
      <c r="CQ81" s="25">
        <f t="shared" si="91"/>
        <v>0</v>
      </c>
      <c r="CR81" s="25">
        <f t="shared" si="91"/>
        <v>0</v>
      </c>
      <c r="CS81" s="25">
        <f t="shared" si="91"/>
        <v>0</v>
      </c>
      <c r="CT81" s="25">
        <f t="shared" si="91"/>
        <v>5407376</v>
      </c>
      <c r="CU81" s="25">
        <f t="shared" si="91"/>
        <v>0</v>
      </c>
      <c r="CV81" s="25">
        <f t="shared" si="91"/>
        <v>0</v>
      </c>
      <c r="CW81" s="25">
        <f t="shared" si="92"/>
        <v>0</v>
      </c>
      <c r="CX81" s="25">
        <f t="shared" si="92"/>
        <v>0</v>
      </c>
      <c r="CY81" s="25">
        <f t="shared" si="92"/>
        <v>0</v>
      </c>
      <c r="CZ81" s="25">
        <f t="shared" si="79"/>
        <v>0</v>
      </c>
      <c r="DA81" s="25">
        <f t="shared" si="79"/>
        <v>0</v>
      </c>
      <c r="DB81" s="25">
        <f t="shared" si="79"/>
        <v>10000000</v>
      </c>
      <c r="DC81" s="25">
        <f t="shared" si="89"/>
        <v>0</v>
      </c>
      <c r="DD81" s="25">
        <f t="shared" si="89"/>
        <v>0</v>
      </c>
      <c r="DE81" s="25">
        <f t="shared" si="89"/>
        <v>0</v>
      </c>
      <c r="DF81" s="25"/>
      <c r="DG81" s="25">
        <f t="shared" si="93"/>
        <v>0</v>
      </c>
      <c r="DH81" s="56">
        <f t="shared" si="93"/>
        <v>0</v>
      </c>
      <c r="DI81" s="25">
        <f t="shared" si="90"/>
        <v>0</v>
      </c>
    </row>
    <row r="82" spans="1:113" ht="30.75" customHeight="1" x14ac:dyDescent="0.25">
      <c r="A82" s="184"/>
      <c r="B82" s="187"/>
      <c r="C82" s="21" t="s">
        <v>237</v>
      </c>
      <c r="D82" s="67" t="s">
        <v>238</v>
      </c>
      <c r="E82" s="23">
        <v>520</v>
      </c>
      <c r="F82" s="68" t="s">
        <v>91</v>
      </c>
      <c r="G82" s="25">
        <f t="shared" si="67"/>
        <v>5000000</v>
      </c>
      <c r="H82" s="36"/>
      <c r="I82" s="36"/>
      <c r="J82" s="36"/>
      <c r="K82" s="25">
        <v>1098558</v>
      </c>
      <c r="L82" s="36"/>
      <c r="M82" s="36"/>
      <c r="N82" s="36"/>
      <c r="O82" s="36"/>
      <c r="P82" s="36"/>
      <c r="Q82" s="30"/>
      <c r="R82" s="36"/>
      <c r="S82" s="49">
        <f>48901442-45000000</f>
        <v>3901442</v>
      </c>
      <c r="T82" s="36"/>
      <c r="U82" s="36"/>
      <c r="V82" s="36"/>
      <c r="W82" s="36"/>
      <c r="X82" s="36"/>
      <c r="Y82" s="36"/>
      <c r="Z82" s="66"/>
      <c r="AA82" s="59"/>
      <c r="AB82" s="27">
        <f t="shared" si="82"/>
        <v>0</v>
      </c>
      <c r="AC82" s="25">
        <f t="shared" si="68"/>
        <v>0</v>
      </c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7">
        <f t="shared" si="83"/>
        <v>1</v>
      </c>
      <c r="AY82" s="25">
        <f t="shared" si="69"/>
        <v>5000000</v>
      </c>
      <c r="AZ82" s="25">
        <f t="shared" si="70"/>
        <v>0</v>
      </c>
      <c r="BA82" s="25">
        <f t="shared" si="70"/>
        <v>0</v>
      </c>
      <c r="BB82" s="25">
        <f t="shared" si="70"/>
        <v>0</v>
      </c>
      <c r="BC82" s="25">
        <f t="shared" si="86"/>
        <v>1098558</v>
      </c>
      <c r="BD82" s="25">
        <f t="shared" si="86"/>
        <v>0</v>
      </c>
      <c r="BE82" s="25">
        <f t="shared" si="86"/>
        <v>0</v>
      </c>
      <c r="BF82" s="25">
        <f t="shared" si="86"/>
        <v>0</v>
      </c>
      <c r="BG82" s="25">
        <f t="shared" si="86"/>
        <v>0</v>
      </c>
      <c r="BH82" s="25">
        <f t="shared" si="86"/>
        <v>0</v>
      </c>
      <c r="BI82" s="25">
        <f t="shared" si="86"/>
        <v>0</v>
      </c>
      <c r="BJ82" s="25">
        <f t="shared" si="86"/>
        <v>0</v>
      </c>
      <c r="BK82" s="25">
        <f t="shared" si="86"/>
        <v>3901442</v>
      </c>
      <c r="BL82" s="25">
        <f t="shared" si="86"/>
        <v>0</v>
      </c>
      <c r="BM82" s="25">
        <f t="shared" si="86"/>
        <v>0</v>
      </c>
      <c r="BN82" s="25">
        <f t="shared" si="86"/>
        <v>0</v>
      </c>
      <c r="BO82" s="25"/>
      <c r="BP82" s="25"/>
      <c r="BQ82" s="25">
        <f t="shared" si="72"/>
        <v>0</v>
      </c>
      <c r="BR82" s="25">
        <f t="shared" si="87"/>
        <v>0</v>
      </c>
      <c r="BS82" s="27">
        <f t="shared" si="84"/>
        <v>0</v>
      </c>
      <c r="BT82" s="25">
        <f t="shared" si="74"/>
        <v>0</v>
      </c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7">
        <f t="shared" si="75"/>
        <v>1</v>
      </c>
      <c r="CP82" s="25">
        <f t="shared" si="76"/>
        <v>5000000</v>
      </c>
      <c r="CQ82" s="25">
        <f t="shared" si="91"/>
        <v>0</v>
      </c>
      <c r="CR82" s="25">
        <f t="shared" si="91"/>
        <v>0</v>
      </c>
      <c r="CS82" s="25">
        <f t="shared" si="91"/>
        <v>0</v>
      </c>
      <c r="CT82" s="25">
        <f t="shared" si="91"/>
        <v>1098558</v>
      </c>
      <c r="CU82" s="25">
        <f t="shared" si="91"/>
        <v>0</v>
      </c>
      <c r="CV82" s="25">
        <f t="shared" si="91"/>
        <v>0</v>
      </c>
      <c r="CW82" s="25">
        <f t="shared" si="92"/>
        <v>0</v>
      </c>
      <c r="CX82" s="25">
        <f t="shared" si="92"/>
        <v>0</v>
      </c>
      <c r="CY82" s="25">
        <f t="shared" si="92"/>
        <v>0</v>
      </c>
      <c r="CZ82" s="25">
        <f t="shared" si="79"/>
        <v>0</v>
      </c>
      <c r="DA82" s="25">
        <f t="shared" si="79"/>
        <v>0</v>
      </c>
      <c r="DB82" s="25">
        <f t="shared" si="79"/>
        <v>3901442</v>
      </c>
      <c r="DC82" s="25">
        <f t="shared" si="89"/>
        <v>0</v>
      </c>
      <c r="DD82" s="25">
        <f t="shared" si="89"/>
        <v>0</v>
      </c>
      <c r="DE82" s="25">
        <f t="shared" si="89"/>
        <v>0</v>
      </c>
      <c r="DF82" s="25"/>
      <c r="DG82" s="25">
        <f t="shared" si="93"/>
        <v>0</v>
      </c>
      <c r="DH82" s="56">
        <f t="shared" si="93"/>
        <v>0</v>
      </c>
      <c r="DI82" s="25">
        <f t="shared" si="90"/>
        <v>0</v>
      </c>
    </row>
    <row r="83" spans="1:113" ht="21" customHeight="1" x14ac:dyDescent="0.25">
      <c r="A83" s="184"/>
      <c r="B83" s="188"/>
      <c r="C83" s="21" t="s">
        <v>239</v>
      </c>
      <c r="D83" s="67" t="s">
        <v>240</v>
      </c>
      <c r="E83" s="23">
        <v>520</v>
      </c>
      <c r="F83" s="68" t="s">
        <v>91</v>
      </c>
      <c r="G83" s="25">
        <f t="shared" si="67"/>
        <v>20000000</v>
      </c>
      <c r="H83" s="36"/>
      <c r="I83" s="36"/>
      <c r="J83" s="36"/>
      <c r="K83" s="25">
        <v>10000000</v>
      </c>
      <c r="L83" s="36"/>
      <c r="M83" s="36"/>
      <c r="N83" s="36"/>
      <c r="O83" s="36"/>
      <c r="P83" s="36"/>
      <c r="Q83" s="30"/>
      <c r="R83" s="36"/>
      <c r="S83" s="49">
        <v>10000000</v>
      </c>
      <c r="T83" s="36"/>
      <c r="U83" s="36"/>
      <c r="V83" s="36"/>
      <c r="W83" s="36"/>
      <c r="X83" s="36"/>
      <c r="Y83" s="36"/>
      <c r="Z83" s="66"/>
      <c r="AA83" s="59"/>
      <c r="AB83" s="27">
        <f t="shared" si="82"/>
        <v>0.72813795000000003</v>
      </c>
      <c r="AC83" s="25">
        <f t="shared" si="68"/>
        <v>14562759</v>
      </c>
      <c r="AD83" s="25"/>
      <c r="AE83" s="25"/>
      <c r="AF83" s="25"/>
      <c r="AG83" s="25"/>
      <c r="AH83" s="25">
        <f>+'[3]ABRIL 2016'!$O$1609</f>
        <v>9950000</v>
      </c>
      <c r="AI83" s="25"/>
      <c r="AJ83" s="25"/>
      <c r="AK83" s="25"/>
      <c r="AL83" s="25"/>
      <c r="AM83" s="25"/>
      <c r="AN83" s="25"/>
      <c r="AO83" s="25"/>
      <c r="AP83" s="25">
        <f>+'[1]AGOSTO 2016'!$W$2993</f>
        <v>4612759</v>
      </c>
      <c r="AQ83" s="25"/>
      <c r="AR83" s="25"/>
      <c r="AS83" s="25"/>
      <c r="AT83" s="25"/>
      <c r="AU83" s="25"/>
      <c r="AV83" s="25"/>
      <c r="AW83" s="25"/>
      <c r="AX83" s="27">
        <f t="shared" si="83"/>
        <v>0.27186204999999997</v>
      </c>
      <c r="AY83" s="25">
        <f t="shared" si="69"/>
        <v>5437241</v>
      </c>
      <c r="AZ83" s="25">
        <f t="shared" si="70"/>
        <v>0</v>
      </c>
      <c r="BA83" s="25">
        <f t="shared" si="70"/>
        <v>0</v>
      </c>
      <c r="BB83" s="25">
        <f t="shared" si="70"/>
        <v>0</v>
      </c>
      <c r="BC83" s="25">
        <f t="shared" si="86"/>
        <v>50000</v>
      </c>
      <c r="BD83" s="25">
        <f t="shared" si="86"/>
        <v>0</v>
      </c>
      <c r="BE83" s="25">
        <f t="shared" si="86"/>
        <v>0</v>
      </c>
      <c r="BF83" s="25">
        <f t="shared" si="86"/>
        <v>0</v>
      </c>
      <c r="BG83" s="25">
        <f t="shared" si="86"/>
        <v>0</v>
      </c>
      <c r="BH83" s="25">
        <f t="shared" si="86"/>
        <v>0</v>
      </c>
      <c r="BI83" s="25">
        <f t="shared" si="86"/>
        <v>0</v>
      </c>
      <c r="BJ83" s="25">
        <f t="shared" si="86"/>
        <v>0</v>
      </c>
      <c r="BK83" s="25">
        <f t="shared" si="86"/>
        <v>5387241</v>
      </c>
      <c r="BL83" s="25">
        <f t="shared" si="86"/>
        <v>0</v>
      </c>
      <c r="BM83" s="25">
        <f t="shared" si="86"/>
        <v>0</v>
      </c>
      <c r="BN83" s="25">
        <f t="shared" si="86"/>
        <v>0</v>
      </c>
      <c r="BO83" s="25"/>
      <c r="BP83" s="25">
        <f>+X83-AU83</f>
        <v>0</v>
      </c>
      <c r="BQ83" s="25">
        <f t="shared" si="72"/>
        <v>0</v>
      </c>
      <c r="BR83" s="25">
        <f t="shared" si="87"/>
        <v>0</v>
      </c>
      <c r="BS83" s="27">
        <f t="shared" si="84"/>
        <v>0.72813795000000003</v>
      </c>
      <c r="BT83" s="25">
        <f t="shared" si="74"/>
        <v>14562759</v>
      </c>
      <c r="BU83" s="25"/>
      <c r="BV83" s="25"/>
      <c r="BW83" s="25"/>
      <c r="BX83" s="25"/>
      <c r="BY83" s="25">
        <v>9950000</v>
      </c>
      <c r="BZ83" s="25"/>
      <c r="CA83" s="25"/>
      <c r="CB83" s="25"/>
      <c r="CC83" s="25"/>
      <c r="CD83" s="25"/>
      <c r="CE83" s="25"/>
      <c r="CF83" s="25"/>
      <c r="CG83" s="25">
        <f>+'[1]AGOSTO 2016'!$W$2993</f>
        <v>4612759</v>
      </c>
      <c r="CH83" s="25"/>
      <c r="CI83" s="25"/>
      <c r="CJ83" s="25"/>
      <c r="CK83" s="25"/>
      <c r="CL83" s="25"/>
      <c r="CM83" s="25"/>
      <c r="CN83" s="25"/>
      <c r="CO83" s="27">
        <f t="shared" si="75"/>
        <v>0.27186204999999997</v>
      </c>
      <c r="CP83" s="25">
        <f t="shared" si="76"/>
        <v>5437241</v>
      </c>
      <c r="CQ83" s="25">
        <f t="shared" si="91"/>
        <v>0</v>
      </c>
      <c r="CR83" s="25">
        <f t="shared" si="91"/>
        <v>0</v>
      </c>
      <c r="CS83" s="25">
        <f t="shared" si="91"/>
        <v>0</v>
      </c>
      <c r="CT83" s="25">
        <f t="shared" si="91"/>
        <v>50000</v>
      </c>
      <c r="CU83" s="25">
        <f t="shared" si="91"/>
        <v>0</v>
      </c>
      <c r="CV83" s="25">
        <f t="shared" si="91"/>
        <v>0</v>
      </c>
      <c r="CW83" s="25">
        <f>N83-CB83</f>
        <v>0</v>
      </c>
      <c r="CX83" s="25">
        <f>O83-CC83</f>
        <v>0</v>
      </c>
      <c r="CY83" s="25">
        <f>P83-CD83</f>
        <v>0</v>
      </c>
      <c r="CZ83" s="25">
        <f t="shared" si="79"/>
        <v>0</v>
      </c>
      <c r="DA83" s="25">
        <f t="shared" si="79"/>
        <v>0</v>
      </c>
      <c r="DB83" s="25">
        <f t="shared" si="79"/>
        <v>5387241</v>
      </c>
      <c r="DC83" s="25">
        <f>T83-CH83</f>
        <v>0</v>
      </c>
      <c r="DD83" s="25">
        <f>U83-CI83</f>
        <v>0</v>
      </c>
      <c r="DE83" s="25">
        <f>V83-CJ83</f>
        <v>0</v>
      </c>
      <c r="DF83" s="25"/>
      <c r="DG83" s="25">
        <f>X83-CL83</f>
        <v>0</v>
      </c>
      <c r="DH83" s="25">
        <f>Y83-CM83</f>
        <v>0</v>
      </c>
      <c r="DI83" s="25">
        <f>Z83-CN83</f>
        <v>0</v>
      </c>
    </row>
    <row r="84" spans="1:113" s="59" customFormat="1" ht="35.25" customHeight="1" x14ac:dyDescent="0.25">
      <c r="A84" s="184" t="s">
        <v>179</v>
      </c>
      <c r="B84" s="186" t="s">
        <v>241</v>
      </c>
      <c r="C84" s="69" t="s">
        <v>242</v>
      </c>
      <c r="D84" s="22" t="s">
        <v>243</v>
      </c>
      <c r="E84" s="33">
        <v>520</v>
      </c>
      <c r="F84" s="68" t="s">
        <v>91</v>
      </c>
      <c r="G84" s="25">
        <f t="shared" si="67"/>
        <v>6000000</v>
      </c>
      <c r="H84" s="30"/>
      <c r="I84" s="30"/>
      <c r="J84" s="30"/>
      <c r="K84" s="56">
        <v>6000000</v>
      </c>
      <c r="L84" s="30"/>
      <c r="M84" s="30"/>
      <c r="N84" s="30"/>
      <c r="O84" s="30"/>
      <c r="P84" s="30"/>
      <c r="Q84" s="30"/>
      <c r="R84" s="30"/>
      <c r="S84" s="49"/>
      <c r="T84" s="56"/>
      <c r="U84" s="56"/>
      <c r="V84" s="56"/>
      <c r="W84" s="56"/>
      <c r="X84" s="56"/>
      <c r="Y84" s="56"/>
      <c r="Z84" s="56"/>
      <c r="AB84" s="60">
        <f t="shared" si="82"/>
        <v>0</v>
      </c>
      <c r="AC84" s="25">
        <f t="shared" si="68"/>
        <v>0</v>
      </c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60">
        <f t="shared" si="83"/>
        <v>1</v>
      </c>
      <c r="AY84" s="25">
        <f t="shared" si="69"/>
        <v>6000000</v>
      </c>
      <c r="AZ84" s="56">
        <f t="shared" si="70"/>
        <v>0</v>
      </c>
      <c r="BA84" s="56">
        <f t="shared" si="70"/>
        <v>0</v>
      </c>
      <c r="BB84" s="25">
        <f t="shared" si="70"/>
        <v>0</v>
      </c>
      <c r="BC84" s="56">
        <f t="shared" si="86"/>
        <v>6000000</v>
      </c>
      <c r="BD84" s="56">
        <f t="shared" si="86"/>
        <v>0</v>
      </c>
      <c r="BE84" s="25">
        <f t="shared" si="86"/>
        <v>0</v>
      </c>
      <c r="BF84" s="56">
        <f t="shared" si="86"/>
        <v>0</v>
      </c>
      <c r="BG84" s="56">
        <f t="shared" si="86"/>
        <v>0</v>
      </c>
      <c r="BH84" s="25">
        <f t="shared" si="86"/>
        <v>0</v>
      </c>
      <c r="BI84" s="56">
        <f t="shared" si="86"/>
        <v>0</v>
      </c>
      <c r="BJ84" s="56">
        <f t="shared" si="86"/>
        <v>0</v>
      </c>
      <c r="BK84" s="56">
        <f t="shared" si="86"/>
        <v>0</v>
      </c>
      <c r="BL84" s="56">
        <f t="shared" si="86"/>
        <v>0</v>
      </c>
      <c r="BM84" s="56">
        <f t="shared" si="86"/>
        <v>0</v>
      </c>
      <c r="BN84" s="56">
        <f t="shared" si="86"/>
        <v>0</v>
      </c>
      <c r="BO84" s="56"/>
      <c r="BP84" s="56"/>
      <c r="BQ84" s="25">
        <f t="shared" si="72"/>
        <v>0</v>
      </c>
      <c r="BR84" s="56">
        <f t="shared" si="87"/>
        <v>0</v>
      </c>
      <c r="BS84" s="60">
        <f t="shared" si="84"/>
        <v>0</v>
      </c>
      <c r="BT84" s="25">
        <f t="shared" si="74"/>
        <v>0</v>
      </c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60">
        <f t="shared" si="75"/>
        <v>1</v>
      </c>
      <c r="CP84" s="25">
        <f t="shared" si="76"/>
        <v>6000000</v>
      </c>
      <c r="CQ84" s="25">
        <f t="shared" si="91"/>
        <v>0</v>
      </c>
      <c r="CR84" s="56">
        <f t="shared" si="91"/>
        <v>0</v>
      </c>
      <c r="CS84" s="25">
        <f t="shared" si="91"/>
        <v>0</v>
      </c>
      <c r="CT84" s="56">
        <f t="shared" si="91"/>
        <v>6000000</v>
      </c>
      <c r="CU84" s="56">
        <f t="shared" si="91"/>
        <v>0</v>
      </c>
      <c r="CV84" s="25">
        <f t="shared" si="91"/>
        <v>0</v>
      </c>
      <c r="CW84" s="56">
        <f t="shared" ref="CW84:DE90" si="94">+N84-CB84</f>
        <v>0</v>
      </c>
      <c r="CX84" s="56">
        <f t="shared" si="94"/>
        <v>0</v>
      </c>
      <c r="CY84" s="25">
        <f t="shared" si="94"/>
        <v>0</v>
      </c>
      <c r="CZ84" s="56">
        <f t="shared" si="79"/>
        <v>0</v>
      </c>
      <c r="DA84" s="56">
        <f t="shared" si="79"/>
        <v>0</v>
      </c>
      <c r="DB84" s="56">
        <f t="shared" si="79"/>
        <v>0</v>
      </c>
      <c r="DC84" s="56">
        <f>+T84-CH84</f>
        <v>0</v>
      </c>
      <c r="DD84" s="56">
        <f>+U84-CI84</f>
        <v>0</v>
      </c>
      <c r="DE84" s="56">
        <f>+V84-CJ84</f>
        <v>0</v>
      </c>
      <c r="DF84" s="56"/>
      <c r="DG84" s="56">
        <f>+X84-CL84</f>
        <v>0</v>
      </c>
      <c r="DH84" s="56">
        <f>+Y84-CM84</f>
        <v>0</v>
      </c>
      <c r="DI84" s="56">
        <f>+Z84-CN84</f>
        <v>0</v>
      </c>
    </row>
    <row r="85" spans="1:113" s="59" customFormat="1" ht="49.5" customHeight="1" x14ac:dyDescent="0.25">
      <c r="A85" s="184"/>
      <c r="B85" s="188"/>
      <c r="C85" s="69" t="s">
        <v>244</v>
      </c>
      <c r="D85" s="22" t="s">
        <v>245</v>
      </c>
      <c r="E85" s="33">
        <v>520</v>
      </c>
      <c r="F85" s="68" t="s">
        <v>91</v>
      </c>
      <c r="G85" s="25">
        <f t="shared" si="67"/>
        <v>6000000</v>
      </c>
      <c r="H85" s="30"/>
      <c r="I85" s="30"/>
      <c r="J85" s="30"/>
      <c r="K85" s="58">
        <v>6000000</v>
      </c>
      <c r="L85" s="30"/>
      <c r="M85" s="30"/>
      <c r="N85" s="30"/>
      <c r="O85" s="30"/>
      <c r="P85" s="30"/>
      <c r="Q85" s="30"/>
      <c r="R85" s="30"/>
      <c r="S85" s="49"/>
      <c r="T85" s="56"/>
      <c r="U85" s="56"/>
      <c r="V85" s="56"/>
      <c r="W85" s="56"/>
      <c r="X85" s="56"/>
      <c r="Y85" s="56"/>
      <c r="Z85" s="56"/>
      <c r="AB85" s="60">
        <f t="shared" si="82"/>
        <v>0</v>
      </c>
      <c r="AC85" s="25">
        <f t="shared" si="68"/>
        <v>0</v>
      </c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60">
        <f t="shared" si="83"/>
        <v>1</v>
      </c>
      <c r="AY85" s="25">
        <f t="shared" si="69"/>
        <v>6000000</v>
      </c>
      <c r="AZ85" s="56">
        <f t="shared" si="70"/>
        <v>0</v>
      </c>
      <c r="BA85" s="56">
        <f t="shared" si="70"/>
        <v>0</v>
      </c>
      <c r="BB85" s="25">
        <f t="shared" si="70"/>
        <v>0</v>
      </c>
      <c r="BC85" s="56">
        <f t="shared" si="86"/>
        <v>6000000</v>
      </c>
      <c r="BD85" s="56">
        <f t="shared" si="86"/>
        <v>0</v>
      </c>
      <c r="BE85" s="25">
        <f t="shared" si="86"/>
        <v>0</v>
      </c>
      <c r="BF85" s="56">
        <f t="shared" si="86"/>
        <v>0</v>
      </c>
      <c r="BG85" s="56">
        <f t="shared" si="86"/>
        <v>0</v>
      </c>
      <c r="BH85" s="25">
        <f t="shared" si="86"/>
        <v>0</v>
      </c>
      <c r="BI85" s="56">
        <f t="shared" si="86"/>
        <v>0</v>
      </c>
      <c r="BJ85" s="56">
        <f t="shared" si="86"/>
        <v>0</v>
      </c>
      <c r="BK85" s="56">
        <f t="shared" si="86"/>
        <v>0</v>
      </c>
      <c r="BL85" s="56">
        <f t="shared" si="86"/>
        <v>0</v>
      </c>
      <c r="BM85" s="56">
        <f t="shared" si="86"/>
        <v>0</v>
      </c>
      <c r="BN85" s="56">
        <f t="shared" si="86"/>
        <v>0</v>
      </c>
      <c r="BO85" s="56"/>
      <c r="BP85" s="56">
        <f>+X85-AU85</f>
        <v>0</v>
      </c>
      <c r="BQ85" s="25">
        <f t="shared" si="72"/>
        <v>0</v>
      </c>
      <c r="BR85" s="56">
        <f t="shared" si="87"/>
        <v>0</v>
      </c>
      <c r="BS85" s="60">
        <f t="shared" si="84"/>
        <v>0</v>
      </c>
      <c r="BT85" s="25">
        <f t="shared" si="74"/>
        <v>0</v>
      </c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60">
        <f t="shared" si="75"/>
        <v>1</v>
      </c>
      <c r="CP85" s="25">
        <f t="shared" si="76"/>
        <v>6000000</v>
      </c>
      <c r="CQ85" s="25">
        <f t="shared" si="91"/>
        <v>0</v>
      </c>
      <c r="CR85" s="56">
        <f t="shared" si="91"/>
        <v>0</v>
      </c>
      <c r="CS85" s="25">
        <f t="shared" si="91"/>
        <v>0</v>
      </c>
      <c r="CT85" s="56">
        <f t="shared" si="91"/>
        <v>6000000</v>
      </c>
      <c r="CU85" s="56">
        <f t="shared" si="91"/>
        <v>0</v>
      </c>
      <c r="CV85" s="25">
        <f t="shared" si="91"/>
        <v>0</v>
      </c>
      <c r="CW85" s="56">
        <f t="shared" si="94"/>
        <v>0</v>
      </c>
      <c r="CX85" s="56">
        <f t="shared" si="94"/>
        <v>0</v>
      </c>
      <c r="CY85" s="25">
        <f t="shared" si="94"/>
        <v>0</v>
      </c>
      <c r="CZ85" s="56">
        <f t="shared" si="79"/>
        <v>0</v>
      </c>
      <c r="DA85" s="56">
        <f t="shared" si="79"/>
        <v>0</v>
      </c>
      <c r="DB85" s="56">
        <f t="shared" si="79"/>
        <v>0</v>
      </c>
      <c r="DC85" s="56">
        <f>T85-CH85</f>
        <v>0</v>
      </c>
      <c r="DD85" s="56">
        <f>U85-CI85</f>
        <v>0</v>
      </c>
      <c r="DE85" s="56">
        <f>V85-CJ85</f>
        <v>0</v>
      </c>
      <c r="DF85" s="56"/>
      <c r="DG85" s="56">
        <f>X85-CL85</f>
        <v>0</v>
      </c>
      <c r="DH85" s="56">
        <f>Y85-CM85</f>
        <v>0</v>
      </c>
      <c r="DI85" s="56">
        <f>Z85-CN85</f>
        <v>0</v>
      </c>
    </row>
    <row r="86" spans="1:113" ht="33" customHeight="1" x14ac:dyDescent="0.25">
      <c r="A86" s="184"/>
      <c r="B86" s="186" t="s">
        <v>246</v>
      </c>
      <c r="C86" s="21" t="s">
        <v>247</v>
      </c>
      <c r="D86" s="22" t="s">
        <v>248</v>
      </c>
      <c r="E86" s="23">
        <v>520</v>
      </c>
      <c r="F86" s="68" t="s">
        <v>91</v>
      </c>
      <c r="G86" s="25">
        <f t="shared" si="67"/>
        <v>33106800</v>
      </c>
      <c r="H86" s="36"/>
      <c r="I86" s="25"/>
      <c r="J86" s="25"/>
      <c r="K86" s="58">
        <v>33106800</v>
      </c>
      <c r="L86" s="36"/>
      <c r="M86" s="36"/>
      <c r="N86" s="36"/>
      <c r="O86" s="36"/>
      <c r="P86" s="36"/>
      <c r="Q86" s="30"/>
      <c r="R86" s="36"/>
      <c r="S86" s="49"/>
      <c r="T86" s="25"/>
      <c r="U86" s="25"/>
      <c r="V86" s="25"/>
      <c r="W86" s="25"/>
      <c r="X86" s="25"/>
      <c r="Y86" s="25"/>
      <c r="Z86" s="25"/>
      <c r="AA86" s="59"/>
      <c r="AB86" s="27">
        <f t="shared" si="82"/>
        <v>1</v>
      </c>
      <c r="AC86" s="25">
        <f t="shared" si="68"/>
        <v>33106800</v>
      </c>
      <c r="AD86" s="25"/>
      <c r="AE86" s="25"/>
      <c r="AF86" s="25"/>
      <c r="AG86" s="25"/>
      <c r="AH86" s="25">
        <f>+'[4]ENERO 2016'!$O$848</f>
        <v>33106800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7">
        <f t="shared" si="83"/>
        <v>0</v>
      </c>
      <c r="AY86" s="25">
        <f t="shared" si="69"/>
        <v>0</v>
      </c>
      <c r="AZ86" s="25">
        <f t="shared" si="70"/>
        <v>0</v>
      </c>
      <c r="BA86" s="25">
        <f t="shared" si="70"/>
        <v>0</v>
      </c>
      <c r="BB86" s="25">
        <f t="shared" si="70"/>
        <v>0</v>
      </c>
      <c r="BC86" s="25">
        <f t="shared" si="86"/>
        <v>0</v>
      </c>
      <c r="BD86" s="25">
        <f t="shared" si="86"/>
        <v>0</v>
      </c>
      <c r="BE86" s="25">
        <f t="shared" si="86"/>
        <v>0</v>
      </c>
      <c r="BF86" s="56">
        <f t="shared" si="86"/>
        <v>0</v>
      </c>
      <c r="BG86" s="25">
        <f t="shared" si="86"/>
        <v>0</v>
      </c>
      <c r="BH86" s="25">
        <f t="shared" si="86"/>
        <v>0</v>
      </c>
      <c r="BI86" s="25">
        <f t="shared" si="86"/>
        <v>0</v>
      </c>
      <c r="BJ86" s="25">
        <f t="shared" si="86"/>
        <v>0</v>
      </c>
      <c r="BK86" s="25">
        <f t="shared" si="86"/>
        <v>0</v>
      </c>
      <c r="BL86" s="25">
        <f t="shared" si="86"/>
        <v>0</v>
      </c>
      <c r="BM86" s="25">
        <f t="shared" si="86"/>
        <v>0</v>
      </c>
      <c r="BN86" s="25">
        <f t="shared" si="86"/>
        <v>0</v>
      </c>
      <c r="BO86" s="25"/>
      <c r="BP86" s="25"/>
      <c r="BQ86" s="25">
        <f t="shared" si="72"/>
        <v>0</v>
      </c>
      <c r="BR86" s="25">
        <f t="shared" si="87"/>
        <v>0</v>
      </c>
      <c r="BS86" s="27">
        <f t="shared" si="84"/>
        <v>1</v>
      </c>
      <c r="BT86" s="25">
        <f t="shared" si="74"/>
        <v>33106800</v>
      </c>
      <c r="BU86" s="25"/>
      <c r="BV86" s="25"/>
      <c r="BW86" s="25"/>
      <c r="BX86" s="25"/>
      <c r="BY86" s="25">
        <f>+'[3]ABRIL 2016'!$H$1625</f>
        <v>33106800</v>
      </c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60">
        <f t="shared" si="75"/>
        <v>0</v>
      </c>
      <c r="CP86" s="25">
        <f t="shared" si="76"/>
        <v>0</v>
      </c>
      <c r="CQ86" s="25">
        <f t="shared" si="91"/>
        <v>0</v>
      </c>
      <c r="CR86" s="56">
        <f t="shared" si="91"/>
        <v>0</v>
      </c>
      <c r="CS86" s="25">
        <f t="shared" si="91"/>
        <v>0</v>
      </c>
      <c r="CT86" s="25">
        <f t="shared" si="91"/>
        <v>0</v>
      </c>
      <c r="CU86" s="56">
        <f t="shared" si="91"/>
        <v>0</v>
      </c>
      <c r="CV86" s="25">
        <f t="shared" si="91"/>
        <v>0</v>
      </c>
      <c r="CW86" s="56">
        <f t="shared" si="94"/>
        <v>0</v>
      </c>
      <c r="CX86" s="56">
        <f t="shared" si="94"/>
        <v>0</v>
      </c>
      <c r="CY86" s="25">
        <f t="shared" si="94"/>
        <v>0</v>
      </c>
      <c r="CZ86" s="56">
        <f t="shared" si="79"/>
        <v>0</v>
      </c>
      <c r="DA86" s="25">
        <f t="shared" si="79"/>
        <v>0</v>
      </c>
      <c r="DB86" s="25">
        <f t="shared" si="79"/>
        <v>0</v>
      </c>
      <c r="DC86" s="25">
        <f t="shared" ref="DC86:DE88" si="95">+T86-CH86</f>
        <v>0</v>
      </c>
      <c r="DD86" s="25">
        <f t="shared" si="95"/>
        <v>0</v>
      </c>
      <c r="DE86" s="25">
        <f t="shared" si="95"/>
        <v>0</v>
      </c>
      <c r="DF86" s="25"/>
      <c r="DG86" s="25">
        <f>+X86-CL86</f>
        <v>0</v>
      </c>
      <c r="DH86" s="56">
        <f>Y86-CM86</f>
        <v>0</v>
      </c>
      <c r="DI86" s="25">
        <f>+Z86-CN86</f>
        <v>0</v>
      </c>
    </row>
    <row r="87" spans="1:113" ht="19.5" customHeight="1" x14ac:dyDescent="0.25">
      <c r="A87" s="184"/>
      <c r="B87" s="187"/>
      <c r="C87" s="21" t="s">
        <v>249</v>
      </c>
      <c r="D87" s="22" t="s">
        <v>250</v>
      </c>
      <c r="E87" s="23">
        <v>520</v>
      </c>
      <c r="F87" s="68" t="s">
        <v>91</v>
      </c>
      <c r="G87" s="25">
        <f t="shared" si="67"/>
        <v>15184000</v>
      </c>
      <c r="H87" s="36"/>
      <c r="I87" s="25"/>
      <c r="J87" s="25"/>
      <c r="K87" s="58">
        <v>15184000</v>
      </c>
      <c r="L87" s="36"/>
      <c r="M87" s="36"/>
      <c r="N87" s="36"/>
      <c r="O87" s="36"/>
      <c r="P87" s="36"/>
      <c r="Q87" s="30"/>
      <c r="R87" s="36"/>
      <c r="S87" s="49"/>
      <c r="T87" s="25"/>
      <c r="U87" s="25"/>
      <c r="V87" s="25"/>
      <c r="W87" s="25"/>
      <c r="X87" s="25"/>
      <c r="Y87" s="25"/>
      <c r="Z87" s="25"/>
      <c r="AA87" s="59"/>
      <c r="AB87" s="27">
        <f t="shared" si="82"/>
        <v>1</v>
      </c>
      <c r="AC87" s="25">
        <f t="shared" si="68"/>
        <v>15184000</v>
      </c>
      <c r="AD87" s="25"/>
      <c r="AE87" s="25"/>
      <c r="AF87" s="25"/>
      <c r="AG87" s="25"/>
      <c r="AH87" s="25">
        <f>+'[4]ENERO 2016'!$O$854</f>
        <v>15184000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7">
        <f t="shared" si="83"/>
        <v>0</v>
      </c>
      <c r="AY87" s="25">
        <f t="shared" si="69"/>
        <v>0</v>
      </c>
      <c r="AZ87" s="25">
        <f t="shared" si="70"/>
        <v>0</v>
      </c>
      <c r="BA87" s="25">
        <f t="shared" si="70"/>
        <v>0</v>
      </c>
      <c r="BB87" s="25">
        <f t="shared" si="70"/>
        <v>0</v>
      </c>
      <c r="BC87" s="25">
        <f t="shared" ref="BC87:BN90" si="96">+K87-AH87</f>
        <v>0</v>
      </c>
      <c r="BD87" s="25">
        <f t="shared" si="96"/>
        <v>0</v>
      </c>
      <c r="BE87" s="25">
        <f t="shared" si="96"/>
        <v>0</v>
      </c>
      <c r="BF87" s="56">
        <f t="shared" si="96"/>
        <v>0</v>
      </c>
      <c r="BG87" s="25">
        <f t="shared" si="96"/>
        <v>0</v>
      </c>
      <c r="BH87" s="25">
        <f t="shared" si="96"/>
        <v>0</v>
      </c>
      <c r="BI87" s="25">
        <f t="shared" si="96"/>
        <v>0</v>
      </c>
      <c r="BJ87" s="25">
        <f t="shared" si="96"/>
        <v>0</v>
      </c>
      <c r="BK87" s="25">
        <f t="shared" si="96"/>
        <v>0</v>
      </c>
      <c r="BL87" s="25">
        <f t="shared" si="96"/>
        <v>0</v>
      </c>
      <c r="BM87" s="25">
        <f t="shared" si="96"/>
        <v>0</v>
      </c>
      <c r="BN87" s="25">
        <f t="shared" si="96"/>
        <v>0</v>
      </c>
      <c r="BO87" s="25"/>
      <c r="BP87" s="25"/>
      <c r="BQ87" s="25">
        <f t="shared" si="72"/>
        <v>0</v>
      </c>
      <c r="BR87" s="25">
        <f t="shared" si="87"/>
        <v>0</v>
      </c>
      <c r="BS87" s="27">
        <f t="shared" si="84"/>
        <v>0.97602917544783985</v>
      </c>
      <c r="BT87" s="25">
        <f t="shared" si="74"/>
        <v>14820027</v>
      </c>
      <c r="BU87" s="25"/>
      <c r="BV87" s="25"/>
      <c r="BW87" s="25"/>
      <c r="BX87" s="25"/>
      <c r="BY87" s="25">
        <f>+'[1]AGOSTO 2016'!$H$3026</f>
        <v>14820027</v>
      </c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60">
        <f t="shared" si="75"/>
        <v>2.3970824552160153E-2</v>
      </c>
      <c r="CP87" s="25">
        <f t="shared" si="76"/>
        <v>363973</v>
      </c>
      <c r="CQ87" s="25">
        <f t="shared" si="91"/>
        <v>0</v>
      </c>
      <c r="CR87" s="56">
        <f t="shared" si="91"/>
        <v>0</v>
      </c>
      <c r="CS87" s="25">
        <f t="shared" si="91"/>
        <v>0</v>
      </c>
      <c r="CT87" s="25">
        <f t="shared" si="91"/>
        <v>363973</v>
      </c>
      <c r="CU87" s="56">
        <f t="shared" si="91"/>
        <v>0</v>
      </c>
      <c r="CV87" s="25">
        <f t="shared" si="91"/>
        <v>0</v>
      </c>
      <c r="CW87" s="56">
        <f t="shared" si="94"/>
        <v>0</v>
      </c>
      <c r="CX87" s="56">
        <f t="shared" si="94"/>
        <v>0</v>
      </c>
      <c r="CY87" s="25">
        <f t="shared" si="94"/>
        <v>0</v>
      </c>
      <c r="CZ87" s="56">
        <f t="shared" si="79"/>
        <v>0</v>
      </c>
      <c r="DA87" s="25">
        <f t="shared" si="79"/>
        <v>0</v>
      </c>
      <c r="DB87" s="25">
        <f t="shared" si="79"/>
        <v>0</v>
      </c>
      <c r="DC87" s="25">
        <f t="shared" si="95"/>
        <v>0</v>
      </c>
      <c r="DD87" s="25">
        <f t="shared" si="95"/>
        <v>0</v>
      </c>
      <c r="DE87" s="25">
        <f t="shared" si="95"/>
        <v>0</v>
      </c>
      <c r="DF87" s="25"/>
      <c r="DG87" s="25">
        <f>+X87-CL87</f>
        <v>0</v>
      </c>
      <c r="DH87" s="56">
        <f>Y87-CM87</f>
        <v>0</v>
      </c>
      <c r="DI87" s="25">
        <f>+Z87-CN87</f>
        <v>0</v>
      </c>
    </row>
    <row r="88" spans="1:113" ht="33.75" customHeight="1" x14ac:dyDescent="0.25">
      <c r="A88" s="184"/>
      <c r="B88" s="187"/>
      <c r="C88" s="21" t="s">
        <v>251</v>
      </c>
      <c r="D88" s="22" t="s">
        <v>252</v>
      </c>
      <c r="E88" s="23">
        <v>520</v>
      </c>
      <c r="F88" s="68" t="s">
        <v>91</v>
      </c>
      <c r="G88" s="25">
        <f t="shared" si="67"/>
        <v>17000000</v>
      </c>
      <c r="H88" s="36"/>
      <c r="I88" s="36"/>
      <c r="J88" s="36"/>
      <c r="K88" s="58">
        <v>16000000</v>
      </c>
      <c r="L88" s="36"/>
      <c r="M88" s="36"/>
      <c r="N88" s="36"/>
      <c r="O88" s="36"/>
      <c r="P88" s="36"/>
      <c r="Q88" s="30"/>
      <c r="R88" s="36"/>
      <c r="S88" s="58"/>
      <c r="T88" s="25"/>
      <c r="U88" s="25"/>
      <c r="V88" s="25"/>
      <c r="W88" s="25"/>
      <c r="X88" s="25"/>
      <c r="Y88" s="25"/>
      <c r="Z88" s="25">
        <f>1000000</f>
        <v>1000000</v>
      </c>
      <c r="AA88" s="59"/>
      <c r="AB88" s="27">
        <f t="shared" si="82"/>
        <v>0.65294117647058825</v>
      </c>
      <c r="AC88" s="25">
        <f t="shared" si="68"/>
        <v>11100000</v>
      </c>
      <c r="AD88" s="25"/>
      <c r="AE88" s="25"/>
      <c r="AF88" s="25"/>
      <c r="AG88" s="25"/>
      <c r="AH88" s="25">
        <f>+'[1]AGOSTO 2016'!$O$3040</f>
        <v>11100000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7">
        <f t="shared" si="83"/>
        <v>0.34705882352941175</v>
      </c>
      <c r="AY88" s="25">
        <f t="shared" si="69"/>
        <v>5900000</v>
      </c>
      <c r="AZ88" s="25">
        <f t="shared" si="70"/>
        <v>0</v>
      </c>
      <c r="BA88" s="25">
        <f t="shared" si="70"/>
        <v>0</v>
      </c>
      <c r="BB88" s="25">
        <f t="shared" si="70"/>
        <v>0</v>
      </c>
      <c r="BC88" s="25">
        <f t="shared" si="96"/>
        <v>4900000</v>
      </c>
      <c r="BD88" s="25">
        <f t="shared" si="96"/>
        <v>0</v>
      </c>
      <c r="BE88" s="25">
        <f t="shared" si="96"/>
        <v>0</v>
      </c>
      <c r="BF88" s="56">
        <f t="shared" si="96"/>
        <v>0</v>
      </c>
      <c r="BG88" s="25">
        <f t="shared" si="96"/>
        <v>0</v>
      </c>
      <c r="BH88" s="25">
        <f t="shared" si="96"/>
        <v>0</v>
      </c>
      <c r="BI88" s="25">
        <f t="shared" si="96"/>
        <v>0</v>
      </c>
      <c r="BJ88" s="25">
        <f t="shared" si="96"/>
        <v>0</v>
      </c>
      <c r="BK88" s="25">
        <f t="shared" si="96"/>
        <v>0</v>
      </c>
      <c r="BL88" s="25">
        <f t="shared" si="96"/>
        <v>0</v>
      </c>
      <c r="BM88" s="25">
        <f t="shared" si="96"/>
        <v>0</v>
      </c>
      <c r="BN88" s="25">
        <f t="shared" si="96"/>
        <v>0</v>
      </c>
      <c r="BO88" s="25"/>
      <c r="BP88" s="25"/>
      <c r="BQ88" s="25">
        <f t="shared" si="72"/>
        <v>0</v>
      </c>
      <c r="BR88" s="25">
        <f t="shared" si="87"/>
        <v>1000000</v>
      </c>
      <c r="BS88" s="27">
        <f t="shared" si="84"/>
        <v>0.26470588235294118</v>
      </c>
      <c r="BT88" s="25">
        <f t="shared" si="74"/>
        <v>4500000</v>
      </c>
      <c r="BU88" s="25"/>
      <c r="BV88" s="25"/>
      <c r="BW88" s="25"/>
      <c r="BX88" s="25"/>
      <c r="BY88" s="25">
        <f>+'[6]JULIO 2016'!$H$2374</f>
        <v>4500000</v>
      </c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60">
        <f t="shared" si="75"/>
        <v>0.73529411764705888</v>
      </c>
      <c r="CP88" s="25">
        <f t="shared" si="76"/>
        <v>12500000</v>
      </c>
      <c r="CQ88" s="25">
        <f t="shared" si="91"/>
        <v>0</v>
      </c>
      <c r="CR88" s="56">
        <f t="shared" si="91"/>
        <v>0</v>
      </c>
      <c r="CS88" s="25">
        <f t="shared" si="91"/>
        <v>0</v>
      </c>
      <c r="CT88" s="25">
        <f t="shared" si="91"/>
        <v>11500000</v>
      </c>
      <c r="CU88" s="56">
        <f t="shared" si="91"/>
        <v>0</v>
      </c>
      <c r="CV88" s="25">
        <f t="shared" si="91"/>
        <v>0</v>
      </c>
      <c r="CW88" s="56">
        <f t="shared" si="94"/>
        <v>0</v>
      </c>
      <c r="CX88" s="56">
        <f t="shared" si="94"/>
        <v>0</v>
      </c>
      <c r="CY88" s="25">
        <f t="shared" si="94"/>
        <v>0</v>
      </c>
      <c r="CZ88" s="56">
        <f t="shared" si="79"/>
        <v>0</v>
      </c>
      <c r="DA88" s="25">
        <f t="shared" si="79"/>
        <v>0</v>
      </c>
      <c r="DB88" s="25">
        <f t="shared" si="79"/>
        <v>0</v>
      </c>
      <c r="DC88" s="25">
        <f t="shared" si="95"/>
        <v>0</v>
      </c>
      <c r="DD88" s="25">
        <f t="shared" si="95"/>
        <v>0</v>
      </c>
      <c r="DE88" s="25">
        <f t="shared" si="95"/>
        <v>0</v>
      </c>
      <c r="DF88" s="25"/>
      <c r="DG88" s="25">
        <f>+X88-CL88</f>
        <v>0</v>
      </c>
      <c r="DH88" s="56">
        <f>Y88-CM88</f>
        <v>0</v>
      </c>
      <c r="DI88" s="25">
        <f>+Z88-CN88</f>
        <v>1000000</v>
      </c>
    </row>
    <row r="89" spans="1:113" ht="21" customHeight="1" x14ac:dyDescent="0.25">
      <c r="A89" s="184"/>
      <c r="B89" s="187"/>
      <c r="C89" s="70" t="s">
        <v>253</v>
      </c>
      <c r="D89" s="22" t="s">
        <v>254</v>
      </c>
      <c r="E89" s="23">
        <v>520</v>
      </c>
      <c r="F89" s="68" t="s">
        <v>91</v>
      </c>
      <c r="G89" s="25">
        <f t="shared" si="67"/>
        <v>300709200</v>
      </c>
      <c r="H89" s="71"/>
      <c r="I89" s="71"/>
      <c r="J89" s="71"/>
      <c r="K89" s="58">
        <v>35709200</v>
      </c>
      <c r="L89" s="71"/>
      <c r="M89" s="71"/>
      <c r="N89" s="71"/>
      <c r="O89" s="71"/>
      <c r="P89" s="71"/>
      <c r="Q89" s="72"/>
      <c r="R89" s="71"/>
      <c r="S89" s="58">
        <v>265000000</v>
      </c>
      <c r="T89" s="73"/>
      <c r="U89" s="73"/>
      <c r="V89" s="73"/>
      <c r="W89" s="73"/>
      <c r="X89" s="73"/>
      <c r="Y89" s="73"/>
      <c r="Z89" s="73"/>
      <c r="AA89" s="59"/>
      <c r="AB89" s="27">
        <f t="shared" si="82"/>
        <v>0.90023584246840471</v>
      </c>
      <c r="AC89" s="25">
        <f t="shared" si="68"/>
        <v>270709200</v>
      </c>
      <c r="AD89" s="73"/>
      <c r="AE89" s="73"/>
      <c r="AF89" s="73"/>
      <c r="AG89" s="73"/>
      <c r="AH89" s="73">
        <f>+'[4]ENERO 2016'!$O$864</f>
        <v>35709200</v>
      </c>
      <c r="AI89" s="73"/>
      <c r="AJ89" s="73"/>
      <c r="AK89" s="73"/>
      <c r="AL89" s="73"/>
      <c r="AM89" s="73"/>
      <c r="AN89" s="73"/>
      <c r="AO89" s="73"/>
      <c r="AP89" s="73">
        <f>+'[1]AGOSTO 2016'!$W$3047</f>
        <v>235000000</v>
      </c>
      <c r="AQ89" s="73"/>
      <c r="AR89" s="73"/>
      <c r="AS89" s="73"/>
      <c r="AT89" s="73"/>
      <c r="AU89" s="73"/>
      <c r="AV89" s="73"/>
      <c r="AW89" s="73"/>
      <c r="AX89" s="27">
        <f t="shared" si="83"/>
        <v>9.9764157531595288E-2</v>
      </c>
      <c r="AY89" s="25">
        <f t="shared" si="69"/>
        <v>30000000</v>
      </c>
      <c r="AZ89" s="25">
        <f t="shared" si="70"/>
        <v>0</v>
      </c>
      <c r="BA89" s="25">
        <f t="shared" si="70"/>
        <v>0</v>
      </c>
      <c r="BB89" s="25">
        <f t="shared" si="70"/>
        <v>0</v>
      </c>
      <c r="BC89" s="25">
        <f t="shared" si="96"/>
        <v>0</v>
      </c>
      <c r="BD89" s="25">
        <f t="shared" si="96"/>
        <v>0</v>
      </c>
      <c r="BE89" s="25">
        <f t="shared" si="96"/>
        <v>0</v>
      </c>
      <c r="BF89" s="56">
        <f t="shared" si="96"/>
        <v>0</v>
      </c>
      <c r="BG89" s="25">
        <f t="shared" si="96"/>
        <v>0</v>
      </c>
      <c r="BH89" s="25">
        <f t="shared" si="96"/>
        <v>0</v>
      </c>
      <c r="BI89" s="25">
        <f t="shared" si="96"/>
        <v>0</v>
      </c>
      <c r="BJ89" s="25">
        <f t="shared" si="96"/>
        <v>0</v>
      </c>
      <c r="BK89" s="25">
        <f t="shared" si="96"/>
        <v>30000000</v>
      </c>
      <c r="BL89" s="25">
        <f t="shared" si="96"/>
        <v>0</v>
      </c>
      <c r="BM89" s="25">
        <f t="shared" si="96"/>
        <v>0</v>
      </c>
      <c r="BN89" s="25">
        <f t="shared" si="96"/>
        <v>0</v>
      </c>
      <c r="BO89" s="25"/>
      <c r="BP89" s="25">
        <f>+X89-AU89</f>
        <v>0</v>
      </c>
      <c r="BQ89" s="25">
        <f t="shared" si="72"/>
        <v>0</v>
      </c>
      <c r="BR89" s="25">
        <f t="shared" si="87"/>
        <v>0</v>
      </c>
      <c r="BS89" s="27">
        <f t="shared" si="84"/>
        <v>0.84788939945967734</v>
      </c>
      <c r="BT89" s="25">
        <f t="shared" si="74"/>
        <v>254968143</v>
      </c>
      <c r="BU89" s="73"/>
      <c r="BV89" s="73"/>
      <c r="BW89" s="73"/>
      <c r="BX89" s="73"/>
      <c r="BY89" s="73">
        <f>+'[1]AGOSTO 2016'!$H$3048</f>
        <v>33050686</v>
      </c>
      <c r="BZ89" s="73"/>
      <c r="CA89" s="73"/>
      <c r="CB89" s="73"/>
      <c r="CC89" s="73"/>
      <c r="CD89" s="73"/>
      <c r="CE89" s="73"/>
      <c r="CF89" s="73"/>
      <c r="CG89" s="73">
        <f>+'[1]AGOSTO 2016'!$H$3053+'[1]AGOSTO 2016'!$H$3056</f>
        <v>221917457</v>
      </c>
      <c r="CH89" s="73"/>
      <c r="CI89" s="73"/>
      <c r="CJ89" s="73"/>
      <c r="CK89" s="73"/>
      <c r="CL89" s="73"/>
      <c r="CM89" s="73"/>
      <c r="CN89" s="73"/>
      <c r="CO89" s="60">
        <f t="shared" si="75"/>
        <v>0.15211060054032266</v>
      </c>
      <c r="CP89" s="25">
        <f t="shared" si="76"/>
        <v>45741057</v>
      </c>
      <c r="CQ89" s="25">
        <f t="shared" si="91"/>
        <v>0</v>
      </c>
      <c r="CR89" s="56">
        <f t="shared" si="91"/>
        <v>0</v>
      </c>
      <c r="CS89" s="25">
        <f t="shared" si="91"/>
        <v>0</v>
      </c>
      <c r="CT89" s="25">
        <f t="shared" si="91"/>
        <v>2658514</v>
      </c>
      <c r="CU89" s="56">
        <f t="shared" si="91"/>
        <v>0</v>
      </c>
      <c r="CV89" s="25">
        <f t="shared" si="91"/>
        <v>0</v>
      </c>
      <c r="CW89" s="56">
        <f t="shared" si="94"/>
        <v>0</v>
      </c>
      <c r="CX89" s="56">
        <f t="shared" si="94"/>
        <v>0</v>
      </c>
      <c r="CY89" s="25">
        <f t="shared" si="94"/>
        <v>0</v>
      </c>
      <c r="CZ89" s="56">
        <f t="shared" si="79"/>
        <v>0</v>
      </c>
      <c r="DA89" s="56">
        <f t="shared" si="79"/>
        <v>0</v>
      </c>
      <c r="DB89" s="56">
        <f t="shared" si="79"/>
        <v>43082543</v>
      </c>
      <c r="DC89" s="56">
        <f>T89-CH89</f>
        <v>0</v>
      </c>
      <c r="DD89" s="56">
        <f>U89-CI89</f>
        <v>0</v>
      </c>
      <c r="DE89" s="56">
        <f>V89-CJ89</f>
        <v>0</v>
      </c>
      <c r="DF89" s="56"/>
      <c r="DG89" s="56">
        <f>X89-CL89</f>
        <v>0</v>
      </c>
      <c r="DH89" s="56">
        <f>Y89-CM89</f>
        <v>0</v>
      </c>
      <c r="DI89" s="56">
        <f>Z89-CN89</f>
        <v>0</v>
      </c>
    </row>
    <row r="90" spans="1:113" ht="69.75" customHeight="1" x14ac:dyDescent="0.25">
      <c r="A90" s="185"/>
      <c r="B90" s="188"/>
      <c r="C90" s="21" t="s">
        <v>255</v>
      </c>
      <c r="D90" s="22" t="s">
        <v>256</v>
      </c>
      <c r="E90" s="23">
        <v>520</v>
      </c>
      <c r="F90" s="24" t="s">
        <v>257</v>
      </c>
      <c r="G90" s="25">
        <f t="shared" si="67"/>
        <v>50055444</v>
      </c>
      <c r="H90" s="71"/>
      <c r="I90" s="71"/>
      <c r="J90" s="71"/>
      <c r="K90" s="71"/>
      <c r="L90" s="71"/>
      <c r="M90" s="71"/>
      <c r="N90" s="71"/>
      <c r="O90" s="71"/>
      <c r="P90" s="71"/>
      <c r="Q90" s="72"/>
      <c r="R90" s="71"/>
      <c r="S90" s="58"/>
      <c r="T90" s="73"/>
      <c r="U90" s="73"/>
      <c r="V90" s="73"/>
      <c r="W90" s="73"/>
      <c r="X90" s="73"/>
      <c r="Y90" s="73"/>
      <c r="Z90" s="73">
        <f>26599846+5000000+955598+1000000+3500000+3000000+10000000</f>
        <v>50055444</v>
      </c>
      <c r="AA90" s="59"/>
      <c r="AB90" s="27">
        <f t="shared" si="82"/>
        <v>0.72955766809300504</v>
      </c>
      <c r="AC90" s="25">
        <f t="shared" si="68"/>
        <v>36518333</v>
      </c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>
        <f>+'[1]AGOSTO 2016'!$G$3094</f>
        <v>36518333</v>
      </c>
      <c r="AX90" s="27">
        <f t="shared" si="83"/>
        <v>0.27044233190699496</v>
      </c>
      <c r="AY90" s="25">
        <f t="shared" si="69"/>
        <v>13537111</v>
      </c>
      <c r="AZ90" s="25">
        <f t="shared" si="70"/>
        <v>0</v>
      </c>
      <c r="BA90" s="25">
        <f t="shared" si="70"/>
        <v>0</v>
      </c>
      <c r="BB90" s="25">
        <f t="shared" si="70"/>
        <v>0</v>
      </c>
      <c r="BC90" s="25">
        <f t="shared" si="96"/>
        <v>0</v>
      </c>
      <c r="BD90" s="25">
        <f t="shared" si="96"/>
        <v>0</v>
      </c>
      <c r="BE90" s="25">
        <f t="shared" si="96"/>
        <v>0</v>
      </c>
      <c r="BF90" s="56">
        <f t="shared" si="96"/>
        <v>0</v>
      </c>
      <c r="BG90" s="25">
        <f t="shared" si="96"/>
        <v>0</v>
      </c>
      <c r="BH90" s="25">
        <f t="shared" si="96"/>
        <v>0</v>
      </c>
      <c r="BI90" s="25">
        <f t="shared" si="96"/>
        <v>0</v>
      </c>
      <c r="BJ90" s="25">
        <f t="shared" si="96"/>
        <v>0</v>
      </c>
      <c r="BK90" s="25">
        <f t="shared" si="96"/>
        <v>0</v>
      </c>
      <c r="BL90" s="25">
        <f t="shared" si="96"/>
        <v>0</v>
      </c>
      <c r="BM90" s="25">
        <f t="shared" si="96"/>
        <v>0</v>
      </c>
      <c r="BN90" s="25">
        <f t="shared" si="96"/>
        <v>0</v>
      </c>
      <c r="BO90" s="25"/>
      <c r="BP90" s="25">
        <f>+X90-AU90</f>
        <v>0</v>
      </c>
      <c r="BQ90" s="25">
        <f t="shared" si="72"/>
        <v>0</v>
      </c>
      <c r="BR90" s="25">
        <f t="shared" si="87"/>
        <v>13537111</v>
      </c>
      <c r="BS90" s="27">
        <f t="shared" si="84"/>
        <v>1.6581612980997633E-2</v>
      </c>
      <c r="BT90" s="25">
        <f t="shared" si="74"/>
        <v>830000</v>
      </c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>
        <f>+'[1]AGOSTO 2016'!$H$3094</f>
        <v>830000</v>
      </c>
      <c r="CO90" s="60">
        <f t="shared" si="75"/>
        <v>0.98341838701900242</v>
      </c>
      <c r="CP90" s="25">
        <f t="shared" si="76"/>
        <v>49225444</v>
      </c>
      <c r="CQ90" s="25">
        <f t="shared" si="91"/>
        <v>0</v>
      </c>
      <c r="CR90" s="56">
        <f t="shared" si="91"/>
        <v>0</v>
      </c>
      <c r="CS90" s="25">
        <f t="shared" si="91"/>
        <v>0</v>
      </c>
      <c r="CT90" s="25">
        <f t="shared" si="91"/>
        <v>0</v>
      </c>
      <c r="CU90" s="56">
        <f t="shared" si="91"/>
        <v>0</v>
      </c>
      <c r="CV90" s="25">
        <f t="shared" si="91"/>
        <v>0</v>
      </c>
      <c r="CW90" s="56">
        <f t="shared" si="94"/>
        <v>0</v>
      </c>
      <c r="CX90" s="56">
        <f t="shared" si="94"/>
        <v>0</v>
      </c>
      <c r="CY90" s="25">
        <f t="shared" si="94"/>
        <v>0</v>
      </c>
      <c r="CZ90" s="25">
        <f t="shared" si="94"/>
        <v>0</v>
      </c>
      <c r="DA90" s="25">
        <f t="shared" si="94"/>
        <v>0</v>
      </c>
      <c r="DB90" s="25">
        <f t="shared" si="94"/>
        <v>0</v>
      </c>
      <c r="DC90" s="25">
        <f t="shared" si="94"/>
        <v>0</v>
      </c>
      <c r="DD90" s="25">
        <f t="shared" si="94"/>
        <v>0</v>
      </c>
      <c r="DE90" s="25">
        <f t="shared" si="94"/>
        <v>0</v>
      </c>
      <c r="DF90" s="25"/>
      <c r="DG90" s="25">
        <f>+X90-CL90</f>
        <v>0</v>
      </c>
      <c r="DH90" s="25">
        <f>+Y90-CM90</f>
        <v>0</v>
      </c>
      <c r="DI90" s="25">
        <f>+Z90-CN90</f>
        <v>49225444</v>
      </c>
    </row>
    <row r="91" spans="1:113" s="47" customFormat="1" ht="20.25" customHeight="1" thickBot="1" x14ac:dyDescent="0.3">
      <c r="A91" s="74"/>
      <c r="B91" s="200" t="s">
        <v>258</v>
      </c>
      <c r="C91" s="201"/>
      <c r="D91" s="201"/>
      <c r="E91" s="201"/>
      <c r="F91" s="202"/>
      <c r="G91" s="63">
        <f>SUM(G59:G90)</f>
        <v>1683497241</v>
      </c>
      <c r="H91" s="63">
        <f>SUM(H59:H88)</f>
        <v>0</v>
      </c>
      <c r="I91" s="63">
        <f>SUM(I59:I88)</f>
        <v>0</v>
      </c>
      <c r="J91" s="63">
        <f>SUM(J59:J88)</f>
        <v>0</v>
      </c>
      <c r="K91" s="63">
        <f>SUM(K59:K90)</f>
        <v>520000000</v>
      </c>
      <c r="L91" s="63">
        <f t="shared" ref="L91:Q91" si="97">SUM(L59:L88)</f>
        <v>50000000</v>
      </c>
      <c r="M91" s="63">
        <f t="shared" si="97"/>
        <v>0</v>
      </c>
      <c r="N91" s="63">
        <f t="shared" si="97"/>
        <v>0</v>
      </c>
      <c r="O91" s="63">
        <f t="shared" si="97"/>
        <v>0</v>
      </c>
      <c r="P91" s="63">
        <f t="shared" si="97"/>
        <v>0</v>
      </c>
      <c r="Q91" s="63">
        <f t="shared" si="97"/>
        <v>0</v>
      </c>
      <c r="R91" s="63">
        <f>SUM(R59:R90)</f>
        <v>244000000</v>
      </c>
      <c r="S91" s="63">
        <f>SUM(S59:S90)</f>
        <v>333901442</v>
      </c>
      <c r="T91" s="63">
        <f t="shared" ref="T91:Y91" si="98">SUM(T59:T88)</f>
        <v>0</v>
      </c>
      <c r="U91" s="63">
        <f t="shared" si="98"/>
        <v>0</v>
      </c>
      <c r="V91" s="63">
        <f t="shared" si="98"/>
        <v>0</v>
      </c>
      <c r="W91" s="63">
        <f t="shared" si="98"/>
        <v>0</v>
      </c>
      <c r="X91" s="63">
        <f t="shared" si="98"/>
        <v>0</v>
      </c>
      <c r="Y91" s="63">
        <f t="shared" si="98"/>
        <v>0</v>
      </c>
      <c r="Z91" s="63">
        <f>SUM(Z59:Z90)</f>
        <v>535595799</v>
      </c>
      <c r="AB91" s="43">
        <f t="shared" si="82"/>
        <v>0.79636670340108984</v>
      </c>
      <c r="AC91" s="63">
        <f>SUM(AC59:AC90)</f>
        <v>1340681148</v>
      </c>
      <c r="AD91" s="63"/>
      <c r="AE91" s="63">
        <f t="shared" ref="AE91:AW91" si="99">SUM(AE59:AE90)</f>
        <v>0</v>
      </c>
      <c r="AF91" s="63">
        <f t="shared" si="99"/>
        <v>0</v>
      </c>
      <c r="AG91" s="63">
        <f t="shared" si="99"/>
        <v>0</v>
      </c>
      <c r="AH91" s="63">
        <f t="shared" si="99"/>
        <v>349598967</v>
      </c>
      <c r="AI91" s="63">
        <f t="shared" si="99"/>
        <v>49214507</v>
      </c>
      <c r="AJ91" s="63">
        <f t="shared" si="99"/>
        <v>0</v>
      </c>
      <c r="AK91" s="63">
        <f t="shared" si="99"/>
        <v>0</v>
      </c>
      <c r="AL91" s="63">
        <f t="shared" si="99"/>
        <v>0</v>
      </c>
      <c r="AM91" s="63">
        <f t="shared" si="99"/>
        <v>0</v>
      </c>
      <c r="AN91" s="63">
        <f t="shared" si="99"/>
        <v>0</v>
      </c>
      <c r="AO91" s="63">
        <f t="shared" si="99"/>
        <v>187101991</v>
      </c>
      <c r="AP91" s="63">
        <f t="shared" si="99"/>
        <v>261050876</v>
      </c>
      <c r="AQ91" s="63">
        <f t="shared" si="99"/>
        <v>0</v>
      </c>
      <c r="AR91" s="63">
        <f t="shared" si="99"/>
        <v>0</v>
      </c>
      <c r="AS91" s="63">
        <f t="shared" si="99"/>
        <v>0</v>
      </c>
      <c r="AT91" s="63">
        <f t="shared" si="99"/>
        <v>0</v>
      </c>
      <c r="AU91" s="63">
        <f t="shared" si="99"/>
        <v>0</v>
      </c>
      <c r="AV91" s="63">
        <f t="shared" si="99"/>
        <v>0</v>
      </c>
      <c r="AW91" s="63">
        <f t="shared" si="99"/>
        <v>493714807</v>
      </c>
      <c r="AX91" s="43">
        <f t="shared" si="83"/>
        <v>0.20363329659891016</v>
      </c>
      <c r="AY91" s="63">
        <f>SUM(AY59:AY90)</f>
        <v>342816093</v>
      </c>
      <c r="AZ91" s="63">
        <f t="shared" ref="AZ91:BR91" si="100">SUM(AZ59:AZ90)</f>
        <v>0</v>
      </c>
      <c r="BA91" s="63">
        <f t="shared" si="100"/>
        <v>0</v>
      </c>
      <c r="BB91" s="63">
        <f t="shared" si="100"/>
        <v>0</v>
      </c>
      <c r="BC91" s="63">
        <f t="shared" si="100"/>
        <v>170401033</v>
      </c>
      <c r="BD91" s="63">
        <f t="shared" si="100"/>
        <v>785493</v>
      </c>
      <c r="BE91" s="63">
        <f t="shared" si="100"/>
        <v>0</v>
      </c>
      <c r="BF91" s="63">
        <f t="shared" si="100"/>
        <v>0</v>
      </c>
      <c r="BG91" s="63">
        <f t="shared" si="100"/>
        <v>0</v>
      </c>
      <c r="BH91" s="63">
        <f t="shared" si="100"/>
        <v>0</v>
      </c>
      <c r="BI91" s="63">
        <f t="shared" si="100"/>
        <v>0</v>
      </c>
      <c r="BJ91" s="63">
        <f t="shared" si="100"/>
        <v>56898009</v>
      </c>
      <c r="BK91" s="63">
        <f t="shared" si="100"/>
        <v>72850566</v>
      </c>
      <c r="BL91" s="63">
        <f t="shared" si="100"/>
        <v>0</v>
      </c>
      <c r="BM91" s="63">
        <f t="shared" si="100"/>
        <v>0</v>
      </c>
      <c r="BN91" s="63">
        <f t="shared" si="100"/>
        <v>0</v>
      </c>
      <c r="BO91" s="63">
        <f t="shared" si="100"/>
        <v>0</v>
      </c>
      <c r="BP91" s="63">
        <f t="shared" si="100"/>
        <v>0</v>
      </c>
      <c r="BQ91" s="63">
        <f t="shared" si="100"/>
        <v>0</v>
      </c>
      <c r="BR91" s="63">
        <f t="shared" si="100"/>
        <v>41880992</v>
      </c>
      <c r="BS91" s="43">
        <f t="shared" si="84"/>
        <v>0.73669382449555199</v>
      </c>
      <c r="BT91" s="63">
        <f t="shared" ref="BT91:CJ91" si="101">SUM(BT59:BT90)</f>
        <v>1240222021</v>
      </c>
      <c r="BU91" s="63">
        <f t="shared" si="101"/>
        <v>0</v>
      </c>
      <c r="BV91" s="63">
        <f t="shared" si="101"/>
        <v>0</v>
      </c>
      <c r="BW91" s="63">
        <f t="shared" si="101"/>
        <v>0</v>
      </c>
      <c r="BX91" s="63">
        <f t="shared" si="101"/>
        <v>0</v>
      </c>
      <c r="BY91" s="63">
        <f t="shared" si="101"/>
        <v>310663409</v>
      </c>
      <c r="BZ91" s="63">
        <f t="shared" si="101"/>
        <v>49214507</v>
      </c>
      <c r="CA91" s="63">
        <f t="shared" si="101"/>
        <v>0</v>
      </c>
      <c r="CB91" s="63">
        <f t="shared" si="101"/>
        <v>0</v>
      </c>
      <c r="CC91" s="63">
        <f t="shared" si="101"/>
        <v>0</v>
      </c>
      <c r="CD91" s="63">
        <f t="shared" si="101"/>
        <v>0</v>
      </c>
      <c r="CE91" s="63">
        <f t="shared" si="101"/>
        <v>0</v>
      </c>
      <c r="CF91" s="63">
        <f t="shared" si="101"/>
        <v>185375614</v>
      </c>
      <c r="CG91" s="63">
        <f t="shared" si="101"/>
        <v>247744258</v>
      </c>
      <c r="CH91" s="63">
        <f t="shared" si="101"/>
        <v>0</v>
      </c>
      <c r="CI91" s="63">
        <f t="shared" si="101"/>
        <v>0</v>
      </c>
      <c r="CJ91" s="63">
        <f t="shared" si="101"/>
        <v>0</v>
      </c>
      <c r="CK91" s="63"/>
      <c r="CL91" s="63">
        <f>SUM(CL59:CL90)</f>
        <v>0</v>
      </c>
      <c r="CM91" s="63">
        <f>SUM(CM59:CM90)</f>
        <v>0</v>
      </c>
      <c r="CN91" s="63">
        <f>SUM(CN59:CN90)</f>
        <v>447224233</v>
      </c>
      <c r="CO91" s="43">
        <f t="shared" si="75"/>
        <v>0.26330617550444801</v>
      </c>
      <c r="CP91" s="63">
        <f t="shared" ref="CP91:DI91" si="102">SUM(CP59:CP90)</f>
        <v>443275220</v>
      </c>
      <c r="CQ91" s="63">
        <f t="shared" si="102"/>
        <v>0</v>
      </c>
      <c r="CR91" s="63">
        <f t="shared" si="102"/>
        <v>0</v>
      </c>
      <c r="CS91" s="63">
        <f t="shared" si="102"/>
        <v>0</v>
      </c>
      <c r="CT91" s="63">
        <f t="shared" si="102"/>
        <v>209336591</v>
      </c>
      <c r="CU91" s="63">
        <f t="shared" si="102"/>
        <v>785493</v>
      </c>
      <c r="CV91" s="63">
        <f t="shared" si="102"/>
        <v>0</v>
      </c>
      <c r="CW91" s="63">
        <f t="shared" si="102"/>
        <v>0</v>
      </c>
      <c r="CX91" s="63">
        <f t="shared" si="102"/>
        <v>0</v>
      </c>
      <c r="CY91" s="63">
        <f t="shared" si="102"/>
        <v>0</v>
      </c>
      <c r="CZ91" s="63">
        <f t="shared" si="102"/>
        <v>0</v>
      </c>
      <c r="DA91" s="63">
        <f t="shared" si="102"/>
        <v>58624386</v>
      </c>
      <c r="DB91" s="63">
        <f t="shared" si="102"/>
        <v>86157184</v>
      </c>
      <c r="DC91" s="63">
        <f t="shared" si="102"/>
        <v>0</v>
      </c>
      <c r="DD91" s="63">
        <f t="shared" si="102"/>
        <v>0</v>
      </c>
      <c r="DE91" s="63">
        <f t="shared" si="102"/>
        <v>0</v>
      </c>
      <c r="DF91" s="63">
        <f t="shared" si="102"/>
        <v>0</v>
      </c>
      <c r="DG91" s="63">
        <f t="shared" si="102"/>
        <v>0</v>
      </c>
      <c r="DH91" s="63">
        <f t="shared" si="102"/>
        <v>0</v>
      </c>
      <c r="DI91" s="63">
        <f t="shared" si="102"/>
        <v>88371566</v>
      </c>
    </row>
    <row r="92" spans="1:113" ht="6" customHeight="1" thickTop="1" x14ac:dyDescent="0.25">
      <c r="B92" s="75"/>
      <c r="C92" s="76"/>
      <c r="D92" s="77"/>
      <c r="E92" s="78"/>
      <c r="F92" s="79"/>
      <c r="G92" s="80"/>
      <c r="H92" s="80"/>
      <c r="I92" s="80"/>
      <c r="J92" s="80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2"/>
      <c r="AB92" s="83"/>
      <c r="AC92" s="84"/>
      <c r="AD92" s="84"/>
      <c r="AE92" s="84"/>
      <c r="AF92" s="84"/>
      <c r="AG92" s="84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6"/>
      <c r="AY92" s="84"/>
      <c r="AZ92" s="84"/>
      <c r="BA92" s="84"/>
      <c r="BB92" s="84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/>
      <c r="BS92" s="86"/>
      <c r="BT92" s="84"/>
      <c r="BU92" s="84"/>
      <c r="BV92" s="84"/>
      <c r="BW92" s="84"/>
      <c r="BX92" s="84"/>
      <c r="BY92" s="85"/>
      <c r="BZ92" s="85"/>
      <c r="CA92" s="85"/>
      <c r="CB92" s="85"/>
      <c r="CC92" s="85"/>
      <c r="CD92" s="85"/>
      <c r="CE92" s="85"/>
      <c r="CF92" s="85"/>
      <c r="CG92" s="85"/>
      <c r="CH92" s="85"/>
      <c r="CI92" s="85"/>
      <c r="CJ92" s="85"/>
      <c r="CK92" s="85"/>
      <c r="CL92" s="85"/>
      <c r="CM92" s="85"/>
      <c r="CN92" s="85"/>
      <c r="CO92" s="86"/>
      <c r="CP92" s="84"/>
      <c r="CQ92" s="84"/>
      <c r="CR92" s="84"/>
      <c r="CS92" s="84"/>
      <c r="CT92" s="87"/>
      <c r="CU92" s="87"/>
      <c r="CV92" s="87"/>
      <c r="CW92" s="87"/>
      <c r="CX92" s="87"/>
      <c r="CY92" s="87"/>
      <c r="CZ92" s="87"/>
      <c r="DA92" s="87"/>
      <c r="DB92" s="87"/>
      <c r="DC92" s="87"/>
      <c r="DD92" s="87"/>
      <c r="DE92" s="87"/>
      <c r="DF92" s="87"/>
      <c r="DG92" s="87"/>
      <c r="DH92" s="87"/>
      <c r="DI92" s="87"/>
    </row>
    <row r="93" spans="1:113" s="47" customFormat="1" ht="23.25" customHeight="1" x14ac:dyDescent="0.25">
      <c r="A93" s="203" t="s">
        <v>259</v>
      </c>
      <c r="B93" s="186" t="s">
        <v>260</v>
      </c>
      <c r="C93" s="70" t="s">
        <v>261</v>
      </c>
      <c r="D93" s="22" t="s">
        <v>262</v>
      </c>
      <c r="E93" s="23">
        <v>301</v>
      </c>
      <c r="F93" s="24" t="s">
        <v>263</v>
      </c>
      <c r="G93" s="25">
        <f t="shared" ref="G93:G107" si="103">SUM(H93:Z93)</f>
        <v>82075557</v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>
        <f>85000000-2924443</f>
        <v>82075557</v>
      </c>
      <c r="W93" s="25"/>
      <c r="X93" s="25"/>
      <c r="Y93" s="25"/>
      <c r="Z93" s="25"/>
      <c r="AB93" s="27">
        <f t="shared" ref="AB93:AB128" si="104">+AC93/G93</f>
        <v>0.95104883662257689</v>
      </c>
      <c r="AC93" s="25">
        <f t="shared" ref="AC93:AC107" si="105">SUM(AD93:AW93)</f>
        <v>78057863</v>
      </c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>
        <f>+'[1]AGOSTO 2016'!$Z$627</f>
        <v>78057863</v>
      </c>
      <c r="AT93" s="25"/>
      <c r="AU93" s="25"/>
      <c r="AV93" s="25"/>
      <c r="AW93" s="25"/>
      <c r="AX93" s="27">
        <f t="shared" ref="AX93:AX128" si="106">1-AB93</f>
        <v>4.8951163377423113E-2</v>
      </c>
      <c r="AY93" s="25">
        <f t="shared" ref="AY93:AY107" si="107">SUM(AZ93:BR93)</f>
        <v>4017694</v>
      </c>
      <c r="AZ93" s="25">
        <f t="shared" ref="AZ93:BN107" si="108">H93-AE93</f>
        <v>0</v>
      </c>
      <c r="BA93" s="25">
        <f t="shared" si="108"/>
        <v>0</v>
      </c>
      <c r="BB93" s="25">
        <f t="shared" si="108"/>
        <v>0</v>
      </c>
      <c r="BC93" s="25">
        <f t="shared" ref="BC93:BN99" si="109">+K93-AH93</f>
        <v>0</v>
      </c>
      <c r="BD93" s="25">
        <f t="shared" si="109"/>
        <v>0</v>
      </c>
      <c r="BE93" s="25">
        <f t="shared" si="109"/>
        <v>0</v>
      </c>
      <c r="BF93" s="25">
        <f t="shared" si="109"/>
        <v>0</v>
      </c>
      <c r="BG93" s="25">
        <f t="shared" si="109"/>
        <v>0</v>
      </c>
      <c r="BH93" s="25">
        <f t="shared" si="109"/>
        <v>0</v>
      </c>
      <c r="BI93" s="25">
        <f t="shared" si="109"/>
        <v>0</v>
      </c>
      <c r="BJ93" s="25">
        <f t="shared" si="109"/>
        <v>0</v>
      </c>
      <c r="BK93" s="25">
        <f t="shared" si="109"/>
        <v>0</v>
      </c>
      <c r="BL93" s="25">
        <f t="shared" si="109"/>
        <v>0</v>
      </c>
      <c r="BM93" s="25">
        <f t="shared" si="109"/>
        <v>0</v>
      </c>
      <c r="BN93" s="25">
        <f t="shared" si="109"/>
        <v>4017694</v>
      </c>
      <c r="BO93" s="25"/>
      <c r="BP93" s="25"/>
      <c r="BQ93" s="25">
        <f t="shared" ref="BQ93:BQ107" si="110">Y93-AV93</f>
        <v>0</v>
      </c>
      <c r="BR93" s="25">
        <f t="shared" ref="BR93:BR99" si="111">+Z93-AW93</f>
        <v>0</v>
      </c>
      <c r="BS93" s="27">
        <f t="shared" ref="BS93:BS128" si="112">+BT93/G93</f>
        <v>0.33579812318544483</v>
      </c>
      <c r="BT93" s="25">
        <f t="shared" ref="BT93:BT107" si="113">SUM(BU93:CN93)</f>
        <v>27560818</v>
      </c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>
        <f>+'[1]AGOSTO 2016'!$H$625</f>
        <v>27560818</v>
      </c>
      <c r="CK93" s="25"/>
      <c r="CL93" s="25"/>
      <c r="CM93" s="25"/>
      <c r="CN93" s="25"/>
      <c r="CO93" s="27">
        <f t="shared" ref="CO93:CO128" si="114">1-BS93</f>
        <v>0.66420187681455523</v>
      </c>
      <c r="CP93" s="25">
        <f t="shared" ref="CP93:CP107" si="115">SUM(CQ93:DI93)</f>
        <v>54514739</v>
      </c>
      <c r="CQ93" s="25">
        <f t="shared" ref="CQ93:CY107" si="116">H93-BV93</f>
        <v>0</v>
      </c>
      <c r="CR93" s="25">
        <f t="shared" si="116"/>
        <v>0</v>
      </c>
      <c r="CS93" s="25">
        <f t="shared" si="116"/>
        <v>0</v>
      </c>
      <c r="CT93" s="25">
        <f t="shared" si="116"/>
        <v>0</v>
      </c>
      <c r="CU93" s="25">
        <f t="shared" si="116"/>
        <v>0</v>
      </c>
      <c r="CV93" s="25">
        <f t="shared" si="116"/>
        <v>0</v>
      </c>
      <c r="CW93" s="25">
        <f t="shared" ref="CW93:CY98" si="117">+N93-CB93</f>
        <v>0</v>
      </c>
      <c r="CX93" s="25">
        <f t="shared" si="117"/>
        <v>0</v>
      </c>
      <c r="CY93" s="25">
        <f t="shared" si="117"/>
        <v>0</v>
      </c>
      <c r="CZ93" s="25">
        <f t="shared" ref="CZ93:DB107" si="118">Q93-CE93</f>
        <v>0</v>
      </c>
      <c r="DA93" s="25">
        <f t="shared" si="118"/>
        <v>0</v>
      </c>
      <c r="DB93" s="25">
        <f t="shared" si="118"/>
        <v>0</v>
      </c>
      <c r="DC93" s="25">
        <f t="shared" ref="DC93:DE99" si="119">+T93-CH93</f>
        <v>0</v>
      </c>
      <c r="DD93" s="25">
        <f t="shared" si="119"/>
        <v>0</v>
      </c>
      <c r="DE93" s="25">
        <f t="shared" si="119"/>
        <v>54514739</v>
      </c>
      <c r="DF93" s="25"/>
      <c r="DG93" s="25">
        <f t="shared" ref="DG93:DI99" si="120">+X93-CL93</f>
        <v>0</v>
      </c>
      <c r="DH93" s="25">
        <f t="shared" si="120"/>
        <v>0</v>
      </c>
      <c r="DI93" s="25">
        <f t="shared" si="120"/>
        <v>0</v>
      </c>
    </row>
    <row r="94" spans="1:113" s="47" customFormat="1" ht="27.75" customHeight="1" x14ac:dyDescent="0.25">
      <c r="A94" s="203"/>
      <c r="B94" s="187"/>
      <c r="C94" s="70" t="s">
        <v>264</v>
      </c>
      <c r="D94" s="22" t="s">
        <v>265</v>
      </c>
      <c r="E94" s="23">
        <v>301</v>
      </c>
      <c r="F94" s="24" t="s">
        <v>263</v>
      </c>
      <c r="G94" s="25">
        <f t="shared" si="103"/>
        <v>57924443</v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>
        <f>55000000+2924443</f>
        <v>57924443</v>
      </c>
      <c r="W94" s="25"/>
      <c r="X94" s="25"/>
      <c r="Y94" s="25"/>
      <c r="Z94" s="25"/>
      <c r="AB94" s="27">
        <f t="shared" si="104"/>
        <v>0.94951279894050944</v>
      </c>
      <c r="AC94" s="25">
        <f t="shared" si="105"/>
        <v>55000000</v>
      </c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>
        <f>+'[7]JUNIO 2016'!$Z$461</f>
        <v>55000000</v>
      </c>
      <c r="AT94" s="25"/>
      <c r="AU94" s="25"/>
      <c r="AV94" s="25"/>
      <c r="AW94" s="25"/>
      <c r="AX94" s="27">
        <f t="shared" si="106"/>
        <v>5.0487201059490561E-2</v>
      </c>
      <c r="AY94" s="25">
        <f t="shared" si="107"/>
        <v>2924443</v>
      </c>
      <c r="AZ94" s="25">
        <f t="shared" si="108"/>
        <v>0</v>
      </c>
      <c r="BA94" s="25">
        <f t="shared" si="108"/>
        <v>0</v>
      </c>
      <c r="BB94" s="25">
        <f t="shared" si="108"/>
        <v>0</v>
      </c>
      <c r="BC94" s="25">
        <f t="shared" si="109"/>
        <v>0</v>
      </c>
      <c r="BD94" s="25">
        <f t="shared" si="109"/>
        <v>0</v>
      </c>
      <c r="BE94" s="25">
        <f t="shared" si="109"/>
        <v>0</v>
      </c>
      <c r="BF94" s="25">
        <f t="shared" si="109"/>
        <v>0</v>
      </c>
      <c r="BG94" s="25">
        <f t="shared" si="109"/>
        <v>0</v>
      </c>
      <c r="BH94" s="25">
        <f t="shared" si="109"/>
        <v>0</v>
      </c>
      <c r="BI94" s="25">
        <f t="shared" si="109"/>
        <v>0</v>
      </c>
      <c r="BJ94" s="25">
        <f t="shared" si="109"/>
        <v>0</v>
      </c>
      <c r="BK94" s="25">
        <f t="shared" si="109"/>
        <v>0</v>
      </c>
      <c r="BL94" s="25">
        <f t="shared" si="109"/>
        <v>0</v>
      </c>
      <c r="BM94" s="25">
        <f t="shared" si="109"/>
        <v>0</v>
      </c>
      <c r="BN94" s="25">
        <f t="shared" si="109"/>
        <v>2924443</v>
      </c>
      <c r="BO94" s="25"/>
      <c r="BP94" s="25"/>
      <c r="BQ94" s="25">
        <f t="shared" si="110"/>
        <v>0</v>
      </c>
      <c r="BR94" s="25">
        <f t="shared" si="111"/>
        <v>0</v>
      </c>
      <c r="BS94" s="27">
        <f t="shared" si="112"/>
        <v>0.94334160451055182</v>
      </c>
      <c r="BT94" s="25">
        <f t="shared" si="113"/>
        <v>54642537</v>
      </c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>
        <f>+'[1]AGOSTO 2016'!$H$648</f>
        <v>54642537</v>
      </c>
      <c r="CK94" s="25"/>
      <c r="CL94" s="25"/>
      <c r="CM94" s="25"/>
      <c r="CN94" s="25"/>
      <c r="CO94" s="27">
        <f t="shared" si="114"/>
        <v>5.6658395489448177E-2</v>
      </c>
      <c r="CP94" s="25">
        <f t="shared" si="115"/>
        <v>3281906</v>
      </c>
      <c r="CQ94" s="25">
        <f t="shared" si="116"/>
        <v>0</v>
      </c>
      <c r="CR94" s="25">
        <f t="shared" si="116"/>
        <v>0</v>
      </c>
      <c r="CS94" s="25">
        <f t="shared" si="116"/>
        <v>0</v>
      </c>
      <c r="CT94" s="25">
        <f t="shared" si="116"/>
        <v>0</v>
      </c>
      <c r="CU94" s="25">
        <f t="shared" si="116"/>
        <v>0</v>
      </c>
      <c r="CV94" s="25">
        <f t="shared" si="116"/>
        <v>0</v>
      </c>
      <c r="CW94" s="25">
        <f t="shared" si="117"/>
        <v>0</v>
      </c>
      <c r="CX94" s="25">
        <f t="shared" si="117"/>
        <v>0</v>
      </c>
      <c r="CY94" s="25">
        <f t="shared" si="117"/>
        <v>0</v>
      </c>
      <c r="CZ94" s="25">
        <f t="shared" si="118"/>
        <v>0</v>
      </c>
      <c r="DA94" s="25">
        <f t="shared" si="118"/>
        <v>0</v>
      </c>
      <c r="DB94" s="25">
        <f t="shared" si="118"/>
        <v>0</v>
      </c>
      <c r="DC94" s="25">
        <f t="shared" si="119"/>
        <v>0</v>
      </c>
      <c r="DD94" s="25">
        <f t="shared" si="119"/>
        <v>0</v>
      </c>
      <c r="DE94" s="25">
        <f t="shared" si="119"/>
        <v>3281906</v>
      </c>
      <c r="DF94" s="25"/>
      <c r="DG94" s="25">
        <f t="shared" si="120"/>
        <v>0</v>
      </c>
      <c r="DH94" s="25">
        <f t="shared" si="120"/>
        <v>0</v>
      </c>
      <c r="DI94" s="25">
        <f t="shared" si="120"/>
        <v>0</v>
      </c>
    </row>
    <row r="95" spans="1:113" s="47" customFormat="1" ht="21.75" customHeight="1" x14ac:dyDescent="0.25">
      <c r="A95" s="203"/>
      <c r="B95" s="187"/>
      <c r="C95" s="70" t="s">
        <v>266</v>
      </c>
      <c r="D95" s="22" t="s">
        <v>267</v>
      </c>
      <c r="E95" s="23">
        <v>301</v>
      </c>
      <c r="F95" s="24" t="s">
        <v>263</v>
      </c>
      <c r="G95" s="25">
        <f t="shared" si="103"/>
        <v>38600000</v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>
        <f>30000000+8600000</f>
        <v>38600000</v>
      </c>
      <c r="W95" s="25"/>
      <c r="X95" s="25"/>
      <c r="Y95" s="25"/>
      <c r="Z95" s="25"/>
      <c r="AB95" s="27">
        <f t="shared" si="104"/>
        <v>0.76161233160621766</v>
      </c>
      <c r="AC95" s="25">
        <f t="shared" si="105"/>
        <v>29398236</v>
      </c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>
        <f>+'[1]AGOSTO 2016'!$G$665</f>
        <v>29398236</v>
      </c>
      <c r="AT95" s="25"/>
      <c r="AU95" s="25"/>
      <c r="AV95" s="25"/>
      <c r="AW95" s="25"/>
      <c r="AX95" s="27">
        <f t="shared" si="106"/>
        <v>0.23838766839378234</v>
      </c>
      <c r="AY95" s="25">
        <f t="shared" si="107"/>
        <v>9201764</v>
      </c>
      <c r="AZ95" s="25">
        <f t="shared" si="108"/>
        <v>0</v>
      </c>
      <c r="BA95" s="25">
        <f t="shared" si="108"/>
        <v>0</v>
      </c>
      <c r="BB95" s="25">
        <f t="shared" si="108"/>
        <v>0</v>
      </c>
      <c r="BC95" s="25">
        <f t="shared" si="109"/>
        <v>0</v>
      </c>
      <c r="BD95" s="25">
        <f t="shared" si="109"/>
        <v>0</v>
      </c>
      <c r="BE95" s="25">
        <f t="shared" si="109"/>
        <v>0</v>
      </c>
      <c r="BF95" s="25">
        <f t="shared" si="109"/>
        <v>0</v>
      </c>
      <c r="BG95" s="25">
        <f t="shared" si="109"/>
        <v>0</v>
      </c>
      <c r="BH95" s="25">
        <f t="shared" si="109"/>
        <v>0</v>
      </c>
      <c r="BI95" s="25">
        <f t="shared" si="109"/>
        <v>0</v>
      </c>
      <c r="BJ95" s="25">
        <f t="shared" si="109"/>
        <v>0</v>
      </c>
      <c r="BK95" s="25">
        <f t="shared" si="109"/>
        <v>0</v>
      </c>
      <c r="BL95" s="25">
        <f t="shared" si="109"/>
        <v>0</v>
      </c>
      <c r="BM95" s="25">
        <f t="shared" si="109"/>
        <v>0</v>
      </c>
      <c r="BN95" s="25">
        <f t="shared" si="109"/>
        <v>9201764</v>
      </c>
      <c r="BO95" s="25"/>
      <c r="BP95" s="25"/>
      <c r="BQ95" s="25">
        <f t="shared" si="110"/>
        <v>0</v>
      </c>
      <c r="BR95" s="25">
        <f t="shared" si="111"/>
        <v>0</v>
      </c>
      <c r="BS95" s="27">
        <f t="shared" si="112"/>
        <v>0.75817126943005186</v>
      </c>
      <c r="BT95" s="25">
        <f t="shared" si="113"/>
        <v>29265411</v>
      </c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>
        <f>+'[1]AGOSTO 2016'!$H$665</f>
        <v>29265411</v>
      </c>
      <c r="CK95" s="25"/>
      <c r="CL95" s="25"/>
      <c r="CM95" s="25"/>
      <c r="CN95" s="25"/>
      <c r="CO95" s="27">
        <f t="shared" si="114"/>
        <v>0.24182873056994814</v>
      </c>
      <c r="CP95" s="25">
        <f t="shared" si="115"/>
        <v>9334589</v>
      </c>
      <c r="CQ95" s="25">
        <f t="shared" si="116"/>
        <v>0</v>
      </c>
      <c r="CR95" s="25">
        <f t="shared" si="116"/>
        <v>0</v>
      </c>
      <c r="CS95" s="25">
        <f t="shared" si="116"/>
        <v>0</v>
      </c>
      <c r="CT95" s="25">
        <f t="shared" si="116"/>
        <v>0</v>
      </c>
      <c r="CU95" s="25">
        <f t="shared" si="116"/>
        <v>0</v>
      </c>
      <c r="CV95" s="25">
        <f t="shared" si="116"/>
        <v>0</v>
      </c>
      <c r="CW95" s="25">
        <f t="shared" si="117"/>
        <v>0</v>
      </c>
      <c r="CX95" s="25">
        <f t="shared" si="117"/>
        <v>0</v>
      </c>
      <c r="CY95" s="25">
        <f t="shared" si="117"/>
        <v>0</v>
      </c>
      <c r="CZ95" s="25">
        <f t="shared" si="118"/>
        <v>0</v>
      </c>
      <c r="DA95" s="25">
        <f t="shared" si="118"/>
        <v>0</v>
      </c>
      <c r="DB95" s="25">
        <f t="shared" si="118"/>
        <v>0</v>
      </c>
      <c r="DC95" s="25">
        <f t="shared" si="119"/>
        <v>0</v>
      </c>
      <c r="DD95" s="25">
        <f t="shared" si="119"/>
        <v>0</v>
      </c>
      <c r="DE95" s="25">
        <f t="shared" si="119"/>
        <v>9334589</v>
      </c>
      <c r="DF95" s="25"/>
      <c r="DG95" s="25">
        <f t="shared" si="120"/>
        <v>0</v>
      </c>
      <c r="DH95" s="25">
        <f t="shared" si="120"/>
        <v>0</v>
      </c>
      <c r="DI95" s="25">
        <f t="shared" si="120"/>
        <v>0</v>
      </c>
    </row>
    <row r="96" spans="1:113" ht="35.25" customHeight="1" x14ac:dyDescent="0.25">
      <c r="A96" s="203"/>
      <c r="B96" s="187"/>
      <c r="C96" s="70" t="s">
        <v>268</v>
      </c>
      <c r="D96" s="22" t="s">
        <v>269</v>
      </c>
      <c r="E96" s="23">
        <v>301</v>
      </c>
      <c r="F96" s="24" t="s">
        <v>270</v>
      </c>
      <c r="G96" s="25">
        <f t="shared" si="103"/>
        <v>76000000</v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>
        <v>25000000</v>
      </c>
      <c r="W96" s="25"/>
      <c r="X96" s="25"/>
      <c r="Y96" s="25"/>
      <c r="Z96" s="25">
        <f>25000000+1000000+5000000+20000000</f>
        <v>51000000</v>
      </c>
      <c r="AB96" s="27">
        <f t="shared" si="104"/>
        <v>0.28849028947368421</v>
      </c>
      <c r="AC96" s="25">
        <f>SUM(AD96:AW96)</f>
        <v>21925262</v>
      </c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>
        <f>+'[1]AGOSTO 2016'!$Z$680</f>
        <v>2000000</v>
      </c>
      <c r="AT96" s="25"/>
      <c r="AU96" s="25"/>
      <c r="AV96" s="25"/>
      <c r="AW96" s="25">
        <f>+'[1]AGOSTO 2016'!$AG$680</f>
        <v>19925262</v>
      </c>
      <c r="AX96" s="27">
        <f t="shared" si="106"/>
        <v>0.71150971052631573</v>
      </c>
      <c r="AY96" s="25">
        <f t="shared" si="107"/>
        <v>54074738</v>
      </c>
      <c r="AZ96" s="25">
        <f t="shared" si="108"/>
        <v>0</v>
      </c>
      <c r="BA96" s="25">
        <f t="shared" si="108"/>
        <v>0</v>
      </c>
      <c r="BB96" s="25">
        <f t="shared" si="108"/>
        <v>0</v>
      </c>
      <c r="BC96" s="25">
        <f t="shared" si="109"/>
        <v>0</v>
      </c>
      <c r="BD96" s="25">
        <f t="shared" si="109"/>
        <v>0</v>
      </c>
      <c r="BE96" s="25">
        <f t="shared" si="109"/>
        <v>0</v>
      </c>
      <c r="BF96" s="25">
        <f t="shared" si="109"/>
        <v>0</v>
      </c>
      <c r="BG96" s="25">
        <f t="shared" si="109"/>
        <v>0</v>
      </c>
      <c r="BH96" s="25">
        <f t="shared" si="109"/>
        <v>0</v>
      </c>
      <c r="BI96" s="25">
        <f t="shared" si="109"/>
        <v>0</v>
      </c>
      <c r="BJ96" s="25">
        <f t="shared" si="109"/>
        <v>0</v>
      </c>
      <c r="BK96" s="25">
        <f t="shared" si="109"/>
        <v>0</v>
      </c>
      <c r="BL96" s="25">
        <f t="shared" si="109"/>
        <v>0</v>
      </c>
      <c r="BM96" s="25">
        <f t="shared" si="109"/>
        <v>0</v>
      </c>
      <c r="BN96" s="25">
        <f t="shared" si="109"/>
        <v>23000000</v>
      </c>
      <c r="BO96" s="25"/>
      <c r="BP96" s="25"/>
      <c r="BQ96" s="25">
        <f t="shared" si="110"/>
        <v>0</v>
      </c>
      <c r="BR96" s="25">
        <f t="shared" si="111"/>
        <v>31074738</v>
      </c>
      <c r="BS96" s="27">
        <f t="shared" si="112"/>
        <v>0.27531923684210524</v>
      </c>
      <c r="BT96" s="25">
        <f t="shared" si="113"/>
        <v>20924262</v>
      </c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>
        <v>2000000</v>
      </c>
      <c r="CK96" s="25"/>
      <c r="CL96" s="25"/>
      <c r="CM96" s="25"/>
      <c r="CN96" s="25">
        <f>+'[1]AGOSTO 2016'!$H$678-CJ96</f>
        <v>18924262</v>
      </c>
      <c r="CO96" s="27">
        <f t="shared" si="114"/>
        <v>0.72468076315789476</v>
      </c>
      <c r="CP96" s="25">
        <f t="shared" si="115"/>
        <v>55075738</v>
      </c>
      <c r="CQ96" s="25">
        <f t="shared" si="116"/>
        <v>0</v>
      </c>
      <c r="CR96" s="25">
        <f t="shared" si="116"/>
        <v>0</v>
      </c>
      <c r="CS96" s="25">
        <f t="shared" si="116"/>
        <v>0</v>
      </c>
      <c r="CT96" s="25">
        <f t="shared" si="116"/>
        <v>0</v>
      </c>
      <c r="CU96" s="25">
        <f t="shared" si="116"/>
        <v>0</v>
      </c>
      <c r="CV96" s="25">
        <f t="shared" si="116"/>
        <v>0</v>
      </c>
      <c r="CW96" s="25">
        <f t="shared" si="117"/>
        <v>0</v>
      </c>
      <c r="CX96" s="25">
        <f t="shared" si="117"/>
        <v>0</v>
      </c>
      <c r="CY96" s="25">
        <f t="shared" si="117"/>
        <v>0</v>
      </c>
      <c r="CZ96" s="25">
        <f t="shared" si="118"/>
        <v>0</v>
      </c>
      <c r="DA96" s="25">
        <f t="shared" si="118"/>
        <v>0</v>
      </c>
      <c r="DB96" s="25">
        <f t="shared" si="118"/>
        <v>0</v>
      </c>
      <c r="DC96" s="25">
        <f t="shared" si="119"/>
        <v>0</v>
      </c>
      <c r="DD96" s="25">
        <f t="shared" si="119"/>
        <v>0</v>
      </c>
      <c r="DE96" s="25">
        <f t="shared" si="119"/>
        <v>23000000</v>
      </c>
      <c r="DF96" s="25"/>
      <c r="DG96" s="25">
        <f t="shared" si="120"/>
        <v>0</v>
      </c>
      <c r="DH96" s="25">
        <f t="shared" si="120"/>
        <v>0</v>
      </c>
      <c r="DI96" s="25">
        <f t="shared" si="120"/>
        <v>32075738</v>
      </c>
    </row>
    <row r="97" spans="1:114" ht="33" customHeight="1" x14ac:dyDescent="0.25">
      <c r="A97" s="203"/>
      <c r="B97" s="187"/>
      <c r="C97" s="70" t="s">
        <v>271</v>
      </c>
      <c r="D97" s="22" t="s">
        <v>272</v>
      </c>
      <c r="E97" s="23">
        <v>301</v>
      </c>
      <c r="F97" s="24" t="s">
        <v>263</v>
      </c>
      <c r="G97" s="25">
        <f t="shared" si="103"/>
        <v>34000000</v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>
        <v>34000000</v>
      </c>
      <c r="W97" s="25"/>
      <c r="X97" s="25"/>
      <c r="Y97" s="25"/>
      <c r="Z97" s="25"/>
      <c r="AB97" s="27">
        <f t="shared" si="104"/>
        <v>0.99863861764705886</v>
      </c>
      <c r="AC97" s="25">
        <f t="shared" si="105"/>
        <v>33953713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>
        <f>+'[3]ABRIL 2016'!$Z$347</f>
        <v>33953713</v>
      </c>
      <c r="AT97" s="25"/>
      <c r="AU97" s="25"/>
      <c r="AV97" s="25"/>
      <c r="AW97" s="25"/>
      <c r="AX97" s="27">
        <f t="shared" si="106"/>
        <v>1.3613823529411428E-3</v>
      </c>
      <c r="AY97" s="25">
        <f t="shared" si="107"/>
        <v>46287</v>
      </c>
      <c r="AZ97" s="25">
        <f t="shared" si="108"/>
        <v>0</v>
      </c>
      <c r="BA97" s="25">
        <f t="shared" si="108"/>
        <v>0</v>
      </c>
      <c r="BB97" s="25">
        <f t="shared" si="108"/>
        <v>0</v>
      </c>
      <c r="BC97" s="25">
        <f t="shared" si="109"/>
        <v>0</v>
      </c>
      <c r="BD97" s="25">
        <f t="shared" si="109"/>
        <v>0</v>
      </c>
      <c r="BE97" s="25">
        <f t="shared" si="109"/>
        <v>0</v>
      </c>
      <c r="BF97" s="25">
        <f t="shared" si="109"/>
        <v>0</v>
      </c>
      <c r="BG97" s="25">
        <f t="shared" si="109"/>
        <v>0</v>
      </c>
      <c r="BH97" s="25">
        <f t="shared" si="109"/>
        <v>0</v>
      </c>
      <c r="BI97" s="25">
        <f t="shared" si="109"/>
        <v>0</v>
      </c>
      <c r="BJ97" s="25">
        <f t="shared" si="109"/>
        <v>0</v>
      </c>
      <c r="BK97" s="25">
        <f t="shared" si="109"/>
        <v>0</v>
      </c>
      <c r="BL97" s="25">
        <f t="shared" si="109"/>
        <v>0</v>
      </c>
      <c r="BM97" s="25">
        <f t="shared" si="109"/>
        <v>0</v>
      </c>
      <c r="BN97" s="25">
        <f t="shared" si="109"/>
        <v>46287</v>
      </c>
      <c r="BO97" s="25"/>
      <c r="BP97" s="25"/>
      <c r="BQ97" s="25">
        <f t="shared" si="110"/>
        <v>0</v>
      </c>
      <c r="BR97" s="25">
        <f t="shared" si="111"/>
        <v>0</v>
      </c>
      <c r="BS97" s="27">
        <f t="shared" si="112"/>
        <v>0.99650888235294122</v>
      </c>
      <c r="BT97" s="25">
        <f t="shared" si="113"/>
        <v>33881302</v>
      </c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>
        <f>+'[8]MAYO 2016'!$H$416</f>
        <v>33881302</v>
      </c>
      <c r="CK97" s="25"/>
      <c r="CL97" s="25"/>
      <c r="CM97" s="25"/>
      <c r="CN97" s="25"/>
      <c r="CO97" s="27">
        <f t="shared" si="114"/>
        <v>3.4911176470587835E-3</v>
      </c>
      <c r="CP97" s="25">
        <f t="shared" si="115"/>
        <v>118698</v>
      </c>
      <c r="CQ97" s="25">
        <f t="shared" si="116"/>
        <v>0</v>
      </c>
      <c r="CR97" s="25">
        <f t="shared" si="116"/>
        <v>0</v>
      </c>
      <c r="CS97" s="25">
        <f t="shared" si="116"/>
        <v>0</v>
      </c>
      <c r="CT97" s="25">
        <f t="shared" si="116"/>
        <v>0</v>
      </c>
      <c r="CU97" s="25">
        <f t="shared" si="116"/>
        <v>0</v>
      </c>
      <c r="CV97" s="25">
        <f t="shared" si="116"/>
        <v>0</v>
      </c>
      <c r="CW97" s="25">
        <f t="shared" si="117"/>
        <v>0</v>
      </c>
      <c r="CX97" s="25">
        <f t="shared" si="117"/>
        <v>0</v>
      </c>
      <c r="CY97" s="25">
        <f t="shared" si="117"/>
        <v>0</v>
      </c>
      <c r="CZ97" s="25">
        <f t="shared" si="118"/>
        <v>0</v>
      </c>
      <c r="DA97" s="25">
        <f t="shared" si="118"/>
        <v>0</v>
      </c>
      <c r="DB97" s="25">
        <f t="shared" si="118"/>
        <v>0</v>
      </c>
      <c r="DC97" s="25">
        <f t="shared" si="119"/>
        <v>0</v>
      </c>
      <c r="DD97" s="25">
        <f t="shared" si="119"/>
        <v>0</v>
      </c>
      <c r="DE97" s="25">
        <f t="shared" si="119"/>
        <v>118698</v>
      </c>
      <c r="DF97" s="25"/>
      <c r="DG97" s="25">
        <f t="shared" si="120"/>
        <v>0</v>
      </c>
      <c r="DH97" s="25">
        <f t="shared" si="120"/>
        <v>0</v>
      </c>
      <c r="DI97" s="25">
        <f t="shared" si="120"/>
        <v>0</v>
      </c>
    </row>
    <row r="98" spans="1:114" ht="27.75" customHeight="1" x14ac:dyDescent="0.25">
      <c r="A98" s="203"/>
      <c r="B98" s="187"/>
      <c r="C98" s="70" t="s">
        <v>273</v>
      </c>
      <c r="D98" s="22" t="s">
        <v>274</v>
      </c>
      <c r="E98" s="23">
        <v>301</v>
      </c>
      <c r="F98" s="24" t="s">
        <v>186</v>
      </c>
      <c r="G98" s="25">
        <f t="shared" si="103"/>
        <v>113185104</v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>
        <f>53185104</f>
        <v>53185104</v>
      </c>
      <c r="V98" s="25">
        <v>60000000</v>
      </c>
      <c r="W98" s="25"/>
      <c r="X98" s="25"/>
      <c r="Y98" s="25"/>
      <c r="Z98" s="25"/>
      <c r="AB98" s="27">
        <f t="shared" si="104"/>
        <v>0.53010509227433322</v>
      </c>
      <c r="AC98" s="25">
        <f t="shared" si="105"/>
        <v>60000000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>
        <f>+'[4]ENERO 2016'!$Z$180</f>
        <v>60000000</v>
      </c>
      <c r="AT98" s="25"/>
      <c r="AU98" s="25"/>
      <c r="AV98" s="25"/>
      <c r="AW98" s="25"/>
      <c r="AX98" s="27">
        <f t="shared" si="106"/>
        <v>0.46989490772566678</v>
      </c>
      <c r="AY98" s="25">
        <f t="shared" si="107"/>
        <v>53185104</v>
      </c>
      <c r="AZ98" s="25">
        <f t="shared" si="108"/>
        <v>0</v>
      </c>
      <c r="BA98" s="25">
        <f t="shared" si="108"/>
        <v>0</v>
      </c>
      <c r="BB98" s="25">
        <f t="shared" si="108"/>
        <v>0</v>
      </c>
      <c r="BC98" s="25">
        <f t="shared" si="109"/>
        <v>0</v>
      </c>
      <c r="BD98" s="25">
        <f t="shared" si="109"/>
        <v>0</v>
      </c>
      <c r="BE98" s="25">
        <f t="shared" si="109"/>
        <v>0</v>
      </c>
      <c r="BF98" s="25">
        <f t="shared" si="109"/>
        <v>0</v>
      </c>
      <c r="BG98" s="25">
        <f t="shared" si="109"/>
        <v>0</v>
      </c>
      <c r="BH98" s="25">
        <f t="shared" si="109"/>
        <v>0</v>
      </c>
      <c r="BI98" s="25">
        <f t="shared" si="109"/>
        <v>0</v>
      </c>
      <c r="BJ98" s="25">
        <f t="shared" si="109"/>
        <v>0</v>
      </c>
      <c r="BK98" s="25">
        <f t="shared" si="109"/>
        <v>0</v>
      </c>
      <c r="BL98" s="25">
        <f t="shared" si="109"/>
        <v>0</v>
      </c>
      <c r="BM98" s="25">
        <f t="shared" si="109"/>
        <v>53185104</v>
      </c>
      <c r="BN98" s="25">
        <f t="shared" si="109"/>
        <v>0</v>
      </c>
      <c r="BO98" s="25"/>
      <c r="BP98" s="25"/>
      <c r="BQ98" s="25">
        <f t="shared" si="110"/>
        <v>0</v>
      </c>
      <c r="BR98" s="25">
        <f t="shared" si="111"/>
        <v>0</v>
      </c>
      <c r="BS98" s="27">
        <f t="shared" si="112"/>
        <v>0.49969884729707897</v>
      </c>
      <c r="BT98" s="25">
        <f t="shared" si="113"/>
        <v>56558466</v>
      </c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>
        <f>+'[1]AGOSTO 2016'!$H$714</f>
        <v>56558466</v>
      </c>
      <c r="CK98" s="25"/>
      <c r="CL98" s="25"/>
      <c r="CM98" s="25"/>
      <c r="CN98" s="25"/>
      <c r="CO98" s="27">
        <f t="shared" si="114"/>
        <v>0.50030115270292108</v>
      </c>
      <c r="CP98" s="25">
        <f t="shared" si="115"/>
        <v>56626638</v>
      </c>
      <c r="CQ98" s="25">
        <f t="shared" si="116"/>
        <v>0</v>
      </c>
      <c r="CR98" s="25">
        <f t="shared" si="116"/>
        <v>0</v>
      </c>
      <c r="CS98" s="25">
        <f t="shared" si="116"/>
        <v>0</v>
      </c>
      <c r="CT98" s="25">
        <f t="shared" si="116"/>
        <v>0</v>
      </c>
      <c r="CU98" s="25">
        <f t="shared" si="116"/>
        <v>0</v>
      </c>
      <c r="CV98" s="25">
        <f t="shared" si="116"/>
        <v>0</v>
      </c>
      <c r="CW98" s="25">
        <f t="shared" si="117"/>
        <v>0</v>
      </c>
      <c r="CX98" s="25">
        <f t="shared" si="117"/>
        <v>0</v>
      </c>
      <c r="CY98" s="25">
        <f t="shared" si="117"/>
        <v>0</v>
      </c>
      <c r="CZ98" s="25">
        <f t="shared" si="118"/>
        <v>0</v>
      </c>
      <c r="DA98" s="25">
        <f t="shared" si="118"/>
        <v>0</v>
      </c>
      <c r="DB98" s="25">
        <f t="shared" si="118"/>
        <v>0</v>
      </c>
      <c r="DC98" s="25">
        <f t="shared" si="119"/>
        <v>0</v>
      </c>
      <c r="DD98" s="25">
        <f t="shared" si="119"/>
        <v>53185104</v>
      </c>
      <c r="DE98" s="25">
        <f t="shared" si="119"/>
        <v>3441534</v>
      </c>
      <c r="DF98" s="25"/>
      <c r="DG98" s="25">
        <f t="shared" si="120"/>
        <v>0</v>
      </c>
      <c r="DH98" s="25">
        <f t="shared" si="120"/>
        <v>0</v>
      </c>
      <c r="DI98" s="25">
        <f t="shared" si="120"/>
        <v>0</v>
      </c>
    </row>
    <row r="99" spans="1:114" ht="21" customHeight="1" x14ac:dyDescent="0.25">
      <c r="A99" s="203"/>
      <c r="B99" s="187"/>
      <c r="C99" s="70" t="s">
        <v>275</v>
      </c>
      <c r="D99" s="22" t="s">
        <v>276</v>
      </c>
      <c r="E99" s="23">
        <v>301</v>
      </c>
      <c r="F99" s="24" t="s">
        <v>277</v>
      </c>
      <c r="G99" s="25">
        <f t="shared" si="103"/>
        <v>20000000</v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20000000</v>
      </c>
      <c r="W99" s="25"/>
      <c r="X99" s="25"/>
      <c r="Y99" s="25"/>
      <c r="Z99" s="25"/>
      <c r="AB99" s="27">
        <f t="shared" si="104"/>
        <v>0</v>
      </c>
      <c r="AC99" s="25">
        <f t="shared" si="105"/>
        <v>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7">
        <f t="shared" si="106"/>
        <v>1</v>
      </c>
      <c r="AY99" s="25">
        <f t="shared" si="107"/>
        <v>20000000</v>
      </c>
      <c r="AZ99" s="25">
        <f t="shared" si="108"/>
        <v>0</v>
      </c>
      <c r="BA99" s="25">
        <f t="shared" si="108"/>
        <v>0</v>
      </c>
      <c r="BB99" s="25">
        <f t="shared" si="108"/>
        <v>0</v>
      </c>
      <c r="BC99" s="25">
        <f t="shared" si="109"/>
        <v>0</v>
      </c>
      <c r="BD99" s="25">
        <f t="shared" si="109"/>
        <v>0</v>
      </c>
      <c r="BE99" s="25">
        <f t="shared" si="109"/>
        <v>0</v>
      </c>
      <c r="BF99" s="25">
        <f t="shared" si="109"/>
        <v>0</v>
      </c>
      <c r="BG99" s="25">
        <f t="shared" si="109"/>
        <v>0</v>
      </c>
      <c r="BH99" s="25">
        <f t="shared" si="109"/>
        <v>0</v>
      </c>
      <c r="BI99" s="25">
        <f t="shared" si="109"/>
        <v>0</v>
      </c>
      <c r="BJ99" s="25">
        <f t="shared" si="109"/>
        <v>0</v>
      </c>
      <c r="BK99" s="25">
        <f t="shared" si="109"/>
        <v>0</v>
      </c>
      <c r="BL99" s="25">
        <f t="shared" si="109"/>
        <v>0</v>
      </c>
      <c r="BM99" s="25">
        <f t="shared" si="109"/>
        <v>0</v>
      </c>
      <c r="BN99" s="25">
        <f t="shared" si="109"/>
        <v>20000000</v>
      </c>
      <c r="BO99" s="25"/>
      <c r="BP99" s="25"/>
      <c r="BQ99" s="25">
        <f t="shared" si="110"/>
        <v>0</v>
      </c>
      <c r="BR99" s="25">
        <f t="shared" si="111"/>
        <v>0</v>
      </c>
      <c r="BS99" s="27">
        <f t="shared" si="112"/>
        <v>0</v>
      </c>
      <c r="BT99" s="25">
        <f t="shared" si="113"/>
        <v>0</v>
      </c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7">
        <f t="shared" si="114"/>
        <v>1</v>
      </c>
      <c r="CP99" s="25">
        <f t="shared" si="115"/>
        <v>20000000</v>
      </c>
      <c r="CQ99" s="25">
        <f t="shared" si="116"/>
        <v>0</v>
      </c>
      <c r="CR99" s="25">
        <f t="shared" si="116"/>
        <v>0</v>
      </c>
      <c r="CS99" s="25">
        <f t="shared" si="116"/>
        <v>0</v>
      </c>
      <c r="CT99" s="25">
        <f t="shared" si="116"/>
        <v>0</v>
      </c>
      <c r="CU99" s="25">
        <f t="shared" si="116"/>
        <v>0</v>
      </c>
      <c r="CV99" s="25">
        <f t="shared" si="116"/>
        <v>0</v>
      </c>
      <c r="CW99" s="25">
        <f t="shared" si="116"/>
        <v>0</v>
      </c>
      <c r="CX99" s="25">
        <f t="shared" si="116"/>
        <v>0</v>
      </c>
      <c r="CY99" s="25">
        <f t="shared" si="116"/>
        <v>0</v>
      </c>
      <c r="CZ99" s="25">
        <f t="shared" si="118"/>
        <v>0</v>
      </c>
      <c r="DA99" s="25">
        <f t="shared" si="118"/>
        <v>0</v>
      </c>
      <c r="DB99" s="25">
        <f t="shared" si="118"/>
        <v>0</v>
      </c>
      <c r="DC99" s="25">
        <f t="shared" si="119"/>
        <v>0</v>
      </c>
      <c r="DD99" s="25">
        <f t="shared" si="119"/>
        <v>0</v>
      </c>
      <c r="DE99" s="25">
        <f t="shared" si="119"/>
        <v>20000000</v>
      </c>
      <c r="DF99" s="25"/>
      <c r="DG99" s="25">
        <f t="shared" si="120"/>
        <v>0</v>
      </c>
      <c r="DH99" s="25">
        <f t="shared" si="120"/>
        <v>0</v>
      </c>
      <c r="DI99" s="25">
        <f t="shared" si="120"/>
        <v>0</v>
      </c>
    </row>
    <row r="100" spans="1:114" ht="32.25" customHeight="1" x14ac:dyDescent="0.25">
      <c r="A100" s="203"/>
      <c r="B100" s="188"/>
      <c r="C100" s="70" t="s">
        <v>278</v>
      </c>
      <c r="D100" s="22" t="s">
        <v>279</v>
      </c>
      <c r="E100" s="23">
        <v>301</v>
      </c>
      <c r="F100" s="24" t="s">
        <v>263</v>
      </c>
      <c r="G100" s="25">
        <f t="shared" si="103"/>
        <v>26000000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>
        <v>26000000</v>
      </c>
      <c r="W100" s="25"/>
      <c r="X100" s="25"/>
      <c r="Y100" s="25"/>
      <c r="Z100" s="25"/>
      <c r="AB100" s="27">
        <f t="shared" si="104"/>
        <v>1</v>
      </c>
      <c r="AC100" s="25">
        <f t="shared" si="105"/>
        <v>26000000</v>
      </c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>
        <f>+'[4]ENERO 2016'!$Z$190</f>
        <v>26000000</v>
      </c>
      <c r="AT100" s="25"/>
      <c r="AU100" s="25"/>
      <c r="AV100" s="25"/>
      <c r="AW100" s="25"/>
      <c r="AX100" s="27">
        <f t="shared" si="106"/>
        <v>0</v>
      </c>
      <c r="AY100" s="25">
        <f t="shared" si="107"/>
        <v>0</v>
      </c>
      <c r="AZ100" s="25">
        <f t="shared" si="108"/>
        <v>0</v>
      </c>
      <c r="BA100" s="25">
        <f t="shared" si="108"/>
        <v>0</v>
      </c>
      <c r="BB100" s="25">
        <f t="shared" si="108"/>
        <v>0</v>
      </c>
      <c r="BC100" s="25">
        <f t="shared" si="108"/>
        <v>0</v>
      </c>
      <c r="BD100" s="25">
        <f t="shared" si="108"/>
        <v>0</v>
      </c>
      <c r="BE100" s="25">
        <f t="shared" si="108"/>
        <v>0</v>
      </c>
      <c r="BF100" s="25">
        <f t="shared" si="108"/>
        <v>0</v>
      </c>
      <c r="BG100" s="25">
        <f t="shared" si="108"/>
        <v>0</v>
      </c>
      <c r="BH100" s="25">
        <f t="shared" si="108"/>
        <v>0</v>
      </c>
      <c r="BI100" s="25">
        <f t="shared" si="108"/>
        <v>0</v>
      </c>
      <c r="BJ100" s="25">
        <f t="shared" si="108"/>
        <v>0</v>
      </c>
      <c r="BK100" s="25">
        <f t="shared" si="108"/>
        <v>0</v>
      </c>
      <c r="BL100" s="25">
        <f t="shared" si="108"/>
        <v>0</v>
      </c>
      <c r="BM100" s="25">
        <f t="shared" si="108"/>
        <v>0</v>
      </c>
      <c r="BN100" s="25">
        <f t="shared" si="108"/>
        <v>0</v>
      </c>
      <c r="BO100" s="25"/>
      <c r="BP100" s="25">
        <f>X100-AU100</f>
        <v>0</v>
      </c>
      <c r="BQ100" s="25">
        <f t="shared" si="110"/>
        <v>0</v>
      </c>
      <c r="BR100" s="25">
        <f>Z100-AW100</f>
        <v>0</v>
      </c>
      <c r="BS100" s="27">
        <f t="shared" si="112"/>
        <v>0.76782453846153842</v>
      </c>
      <c r="BT100" s="25">
        <f t="shared" si="113"/>
        <v>19963438</v>
      </c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>
        <f>+'[1]AGOSTO 2016'!$H$744</f>
        <v>19963438</v>
      </c>
      <c r="CK100" s="25"/>
      <c r="CL100" s="25"/>
      <c r="CM100" s="25"/>
      <c r="CN100" s="25"/>
      <c r="CO100" s="27">
        <f t="shared" si="114"/>
        <v>0.23217546153846158</v>
      </c>
      <c r="CP100" s="25">
        <f t="shared" si="115"/>
        <v>6036562</v>
      </c>
      <c r="CQ100" s="25">
        <f t="shared" si="116"/>
        <v>0</v>
      </c>
      <c r="CR100" s="25">
        <f t="shared" si="116"/>
        <v>0</v>
      </c>
      <c r="CS100" s="25">
        <f t="shared" si="116"/>
        <v>0</v>
      </c>
      <c r="CT100" s="25">
        <f t="shared" si="116"/>
        <v>0</v>
      </c>
      <c r="CU100" s="25">
        <f t="shared" si="116"/>
        <v>0</v>
      </c>
      <c r="CV100" s="25">
        <f t="shared" si="116"/>
        <v>0</v>
      </c>
      <c r="CW100" s="25">
        <f t="shared" si="116"/>
        <v>0</v>
      </c>
      <c r="CX100" s="25">
        <f t="shared" si="116"/>
        <v>0</v>
      </c>
      <c r="CY100" s="25">
        <f t="shared" si="116"/>
        <v>0</v>
      </c>
      <c r="CZ100" s="25">
        <f t="shared" si="118"/>
        <v>0</v>
      </c>
      <c r="DA100" s="25">
        <f t="shared" si="118"/>
        <v>0</v>
      </c>
      <c r="DB100" s="25">
        <f t="shared" si="118"/>
        <v>0</v>
      </c>
      <c r="DC100" s="25">
        <f>T100-CH100</f>
        <v>0</v>
      </c>
      <c r="DD100" s="25">
        <f>U100-CI100</f>
        <v>0</v>
      </c>
      <c r="DE100" s="25">
        <f>V100-CJ100</f>
        <v>6036562</v>
      </c>
      <c r="DF100" s="25"/>
      <c r="DG100" s="25">
        <f>X100-CL100</f>
        <v>0</v>
      </c>
      <c r="DH100" s="25">
        <f>Y100-CM100</f>
        <v>0</v>
      </c>
      <c r="DI100" s="25">
        <f>Z100-CN100</f>
        <v>0</v>
      </c>
    </row>
    <row r="101" spans="1:114" ht="33" customHeight="1" x14ac:dyDescent="0.25">
      <c r="A101" s="203"/>
      <c r="B101" s="88" t="s">
        <v>280</v>
      </c>
      <c r="C101" s="89" t="s">
        <v>281</v>
      </c>
      <c r="D101" s="22" t="s">
        <v>282</v>
      </c>
      <c r="E101" s="33">
        <v>301</v>
      </c>
      <c r="F101" s="24" t="s">
        <v>283</v>
      </c>
      <c r="G101" s="25">
        <f t="shared" si="103"/>
        <v>323000000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>
        <v>322000000</v>
      </c>
      <c r="W101" s="25"/>
      <c r="X101" s="25"/>
      <c r="Y101" s="25"/>
      <c r="Z101" s="25">
        <f>1000000</f>
        <v>1000000</v>
      </c>
      <c r="AB101" s="27">
        <f t="shared" si="104"/>
        <v>0.98060521362229103</v>
      </c>
      <c r="AC101" s="25">
        <f t="shared" si="105"/>
        <v>316735484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>
        <f>+'[1]AGOSTO 2016'!$Z$755</f>
        <v>316735484</v>
      </c>
      <c r="AT101" s="25"/>
      <c r="AU101" s="25"/>
      <c r="AV101" s="25"/>
      <c r="AW101" s="25"/>
      <c r="AX101" s="27">
        <f t="shared" si="106"/>
        <v>1.9394786377708972E-2</v>
      </c>
      <c r="AY101" s="25">
        <f t="shared" si="107"/>
        <v>6264516</v>
      </c>
      <c r="AZ101" s="25">
        <f t="shared" si="108"/>
        <v>0</v>
      </c>
      <c r="BA101" s="25">
        <f t="shared" si="108"/>
        <v>0</v>
      </c>
      <c r="BB101" s="25">
        <f t="shared" si="108"/>
        <v>0</v>
      </c>
      <c r="BC101" s="25">
        <f t="shared" ref="BC101:BN107" si="121">+K101-AH101</f>
        <v>0</v>
      </c>
      <c r="BD101" s="25">
        <f t="shared" si="121"/>
        <v>0</v>
      </c>
      <c r="BE101" s="25">
        <f t="shared" si="121"/>
        <v>0</v>
      </c>
      <c r="BF101" s="25">
        <f t="shared" si="121"/>
        <v>0</v>
      </c>
      <c r="BG101" s="25">
        <f t="shared" si="121"/>
        <v>0</v>
      </c>
      <c r="BH101" s="25">
        <f t="shared" si="121"/>
        <v>0</v>
      </c>
      <c r="BI101" s="25">
        <f t="shared" si="121"/>
        <v>0</v>
      </c>
      <c r="BJ101" s="25">
        <f t="shared" si="121"/>
        <v>0</v>
      </c>
      <c r="BK101" s="25">
        <f t="shared" si="121"/>
        <v>0</v>
      </c>
      <c r="BL101" s="25">
        <f t="shared" si="121"/>
        <v>0</v>
      </c>
      <c r="BM101" s="25">
        <f t="shared" si="121"/>
        <v>0</v>
      </c>
      <c r="BN101" s="25">
        <f t="shared" si="121"/>
        <v>5264516</v>
      </c>
      <c r="BO101" s="25"/>
      <c r="BP101" s="25"/>
      <c r="BQ101" s="25">
        <f t="shared" si="110"/>
        <v>0</v>
      </c>
      <c r="BR101" s="25">
        <f t="shared" ref="BR101:BR107" si="122">+Z101-AW101</f>
        <v>1000000</v>
      </c>
      <c r="BS101" s="27">
        <f t="shared" si="112"/>
        <v>0.96997916099071202</v>
      </c>
      <c r="BT101" s="25">
        <f t="shared" si="113"/>
        <v>313303269</v>
      </c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>
        <f>+'[1]AGOSTO 2016'!$H$753</f>
        <v>313303269</v>
      </c>
      <c r="CK101" s="25"/>
      <c r="CL101" s="25"/>
      <c r="CM101" s="25"/>
      <c r="CN101" s="25"/>
      <c r="CO101" s="27">
        <f t="shared" si="114"/>
        <v>3.0020839009287981E-2</v>
      </c>
      <c r="CP101" s="25">
        <f t="shared" si="115"/>
        <v>9696731</v>
      </c>
      <c r="CQ101" s="25">
        <f t="shared" si="116"/>
        <v>0</v>
      </c>
      <c r="CR101" s="25">
        <f t="shared" si="116"/>
        <v>0</v>
      </c>
      <c r="CS101" s="25">
        <f t="shared" si="116"/>
        <v>0</v>
      </c>
      <c r="CT101" s="25">
        <f t="shared" si="116"/>
        <v>0</v>
      </c>
      <c r="CU101" s="25">
        <f t="shared" si="116"/>
        <v>0</v>
      </c>
      <c r="CV101" s="25">
        <f t="shared" si="116"/>
        <v>0</v>
      </c>
      <c r="CW101" s="25">
        <f t="shared" ref="CW101:CX107" si="123">+N101-CB101</f>
        <v>0</v>
      </c>
      <c r="CX101" s="25">
        <f t="shared" si="123"/>
        <v>0</v>
      </c>
      <c r="CY101" s="25">
        <f t="shared" si="116"/>
        <v>0</v>
      </c>
      <c r="CZ101" s="25">
        <f t="shared" si="118"/>
        <v>0</v>
      </c>
      <c r="DA101" s="25">
        <f t="shared" si="118"/>
        <v>0</v>
      </c>
      <c r="DB101" s="25">
        <f t="shared" si="118"/>
        <v>0</v>
      </c>
      <c r="DC101" s="25">
        <f t="shared" ref="DC101:DE107" si="124">+T101-CH101</f>
        <v>0</v>
      </c>
      <c r="DD101" s="25">
        <f t="shared" si="124"/>
        <v>0</v>
      </c>
      <c r="DE101" s="25">
        <f t="shared" si="124"/>
        <v>8696731</v>
      </c>
      <c r="DF101" s="25"/>
      <c r="DG101" s="25">
        <f t="shared" ref="DG101:DI107" si="125">+X101-CL101</f>
        <v>0</v>
      </c>
      <c r="DH101" s="25">
        <f t="shared" si="125"/>
        <v>0</v>
      </c>
      <c r="DI101" s="25">
        <f t="shared" si="125"/>
        <v>1000000</v>
      </c>
    </row>
    <row r="102" spans="1:114" ht="54.75" customHeight="1" x14ac:dyDescent="0.25">
      <c r="A102" s="203"/>
      <c r="B102" s="90" t="s">
        <v>284</v>
      </c>
      <c r="C102" s="70" t="s">
        <v>285</v>
      </c>
      <c r="D102" s="22" t="s">
        <v>286</v>
      </c>
      <c r="E102" s="23">
        <v>301</v>
      </c>
      <c r="F102" s="24" t="s">
        <v>287</v>
      </c>
      <c r="G102" s="25">
        <f t="shared" si="103"/>
        <v>325425485</v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316000000</v>
      </c>
      <c r="W102" s="25"/>
      <c r="X102" s="25"/>
      <c r="Y102" s="25"/>
      <c r="Z102" s="25">
        <f>6000000+1000000+2425485</f>
        <v>9425485</v>
      </c>
      <c r="AB102" s="27">
        <f t="shared" si="104"/>
        <v>0.54134846568639206</v>
      </c>
      <c r="AC102" s="25">
        <f t="shared" si="105"/>
        <v>176168587</v>
      </c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>
        <f>+'[1]AGOSTO 2016'!$Z$812</f>
        <v>170043102</v>
      </c>
      <c r="AT102" s="25"/>
      <c r="AU102" s="25"/>
      <c r="AV102" s="25"/>
      <c r="AW102" s="25">
        <f>+'[1]AGOSTO 2016'!$AG$812</f>
        <v>6125485</v>
      </c>
      <c r="AX102" s="27">
        <f t="shared" si="106"/>
        <v>0.45865153431360794</v>
      </c>
      <c r="AY102" s="25">
        <f t="shared" si="107"/>
        <v>149256898</v>
      </c>
      <c r="AZ102" s="25">
        <f t="shared" si="108"/>
        <v>0</v>
      </c>
      <c r="BA102" s="25">
        <f t="shared" si="108"/>
        <v>0</v>
      </c>
      <c r="BB102" s="25">
        <f t="shared" si="108"/>
        <v>0</v>
      </c>
      <c r="BC102" s="25">
        <f t="shared" si="121"/>
        <v>0</v>
      </c>
      <c r="BD102" s="25">
        <f t="shared" si="121"/>
        <v>0</v>
      </c>
      <c r="BE102" s="25">
        <f t="shared" si="121"/>
        <v>0</v>
      </c>
      <c r="BF102" s="25">
        <f t="shared" si="121"/>
        <v>0</v>
      </c>
      <c r="BG102" s="25">
        <f t="shared" si="121"/>
        <v>0</v>
      </c>
      <c r="BH102" s="25">
        <f t="shared" si="121"/>
        <v>0</v>
      </c>
      <c r="BI102" s="25">
        <f t="shared" si="121"/>
        <v>0</v>
      </c>
      <c r="BJ102" s="25">
        <f t="shared" si="121"/>
        <v>0</v>
      </c>
      <c r="BK102" s="25">
        <f t="shared" si="121"/>
        <v>0</v>
      </c>
      <c r="BL102" s="25">
        <f t="shared" si="121"/>
        <v>0</v>
      </c>
      <c r="BM102" s="25">
        <f t="shared" si="121"/>
        <v>0</v>
      </c>
      <c r="BN102" s="25">
        <f t="shared" si="121"/>
        <v>145956898</v>
      </c>
      <c r="BO102" s="25"/>
      <c r="BP102" s="25"/>
      <c r="BQ102" s="25">
        <f t="shared" si="110"/>
        <v>0</v>
      </c>
      <c r="BR102" s="25">
        <f t="shared" si="122"/>
        <v>3300000</v>
      </c>
      <c r="BS102" s="27">
        <f t="shared" si="112"/>
        <v>0.53700639641053316</v>
      </c>
      <c r="BT102" s="25">
        <f t="shared" si="113"/>
        <v>174755567</v>
      </c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>
        <f>+'[1]AGOSTO 2016'!$H$810-CN102</f>
        <v>168723602</v>
      </c>
      <c r="CK102" s="25"/>
      <c r="CL102" s="25"/>
      <c r="CM102" s="25"/>
      <c r="CN102" s="25">
        <f>+'[1]AGOSTO 2016'!$H$864+'[1]AGOSTO 2016'!$H$850+'[1]AGOSTO 2016'!$H$840+'[1]AGOSTO 2016'!$H$831+'[1]AGOSTO 2016'!$H$830</f>
        <v>6031965</v>
      </c>
      <c r="CO102" s="27">
        <f t="shared" si="114"/>
        <v>0.46299360358946684</v>
      </c>
      <c r="CP102" s="25">
        <f t="shared" si="115"/>
        <v>150669918</v>
      </c>
      <c r="CQ102" s="25">
        <f t="shared" si="116"/>
        <v>0</v>
      </c>
      <c r="CR102" s="25">
        <f t="shared" si="116"/>
        <v>0</v>
      </c>
      <c r="CS102" s="25">
        <f t="shared" si="116"/>
        <v>0</v>
      </c>
      <c r="CT102" s="25">
        <f t="shared" si="116"/>
        <v>0</v>
      </c>
      <c r="CU102" s="25">
        <f t="shared" si="116"/>
        <v>0</v>
      </c>
      <c r="CV102" s="25">
        <f t="shared" si="116"/>
        <v>0</v>
      </c>
      <c r="CW102" s="25">
        <f t="shared" si="123"/>
        <v>0</v>
      </c>
      <c r="CX102" s="25">
        <f t="shared" si="123"/>
        <v>0</v>
      </c>
      <c r="CY102" s="25">
        <f t="shared" si="116"/>
        <v>0</v>
      </c>
      <c r="CZ102" s="25">
        <f t="shared" si="118"/>
        <v>0</v>
      </c>
      <c r="DA102" s="25">
        <f t="shared" si="118"/>
        <v>0</v>
      </c>
      <c r="DB102" s="25">
        <f t="shared" si="118"/>
        <v>0</v>
      </c>
      <c r="DC102" s="25">
        <f t="shared" si="124"/>
        <v>0</v>
      </c>
      <c r="DD102" s="25">
        <f t="shared" si="124"/>
        <v>0</v>
      </c>
      <c r="DE102" s="25">
        <f t="shared" si="124"/>
        <v>147276398</v>
      </c>
      <c r="DF102" s="25"/>
      <c r="DG102" s="25">
        <f t="shared" si="125"/>
        <v>0</v>
      </c>
      <c r="DH102" s="25">
        <f t="shared" si="125"/>
        <v>0</v>
      </c>
      <c r="DI102" s="25">
        <f t="shared" si="125"/>
        <v>3393520</v>
      </c>
    </row>
    <row r="103" spans="1:114" ht="42" customHeight="1" x14ac:dyDescent="0.25">
      <c r="A103" s="203"/>
      <c r="B103" s="90" t="s">
        <v>288</v>
      </c>
      <c r="C103" s="70" t="s">
        <v>289</v>
      </c>
      <c r="D103" s="22" t="s">
        <v>290</v>
      </c>
      <c r="E103" s="23">
        <v>301</v>
      </c>
      <c r="F103" s="24" t="s">
        <v>291</v>
      </c>
      <c r="G103" s="25">
        <f t="shared" si="103"/>
        <v>46255066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f>67000000-30600000</f>
        <v>36400000</v>
      </c>
      <c r="W103" s="25"/>
      <c r="X103" s="25"/>
      <c r="Y103" s="25"/>
      <c r="Z103" s="25">
        <f>2000000+2682410+1000000+257590+3915066</f>
        <v>9855066</v>
      </c>
      <c r="AB103" s="27">
        <f t="shared" si="104"/>
        <v>0.4198459040140598</v>
      </c>
      <c r="AC103" s="25">
        <f t="shared" si="105"/>
        <v>19420000</v>
      </c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>
        <f>+'[7]JUNIO 2016'!$Z$626</f>
        <v>17580000</v>
      </c>
      <c r="AT103" s="25"/>
      <c r="AU103" s="25"/>
      <c r="AV103" s="25"/>
      <c r="AW103" s="25">
        <f>+'[7]JUNIO 2016'!$AG$626</f>
        <v>1840000</v>
      </c>
      <c r="AX103" s="27">
        <f t="shared" si="106"/>
        <v>0.58015409598594014</v>
      </c>
      <c r="AY103" s="25">
        <f t="shared" si="107"/>
        <v>26835066</v>
      </c>
      <c r="AZ103" s="25">
        <f t="shared" si="108"/>
        <v>0</v>
      </c>
      <c r="BA103" s="25">
        <f t="shared" si="108"/>
        <v>0</v>
      </c>
      <c r="BB103" s="25">
        <f t="shared" si="108"/>
        <v>0</v>
      </c>
      <c r="BC103" s="25">
        <f t="shared" si="121"/>
        <v>0</v>
      </c>
      <c r="BD103" s="25">
        <f t="shared" si="121"/>
        <v>0</v>
      </c>
      <c r="BE103" s="25">
        <f t="shared" si="121"/>
        <v>0</v>
      </c>
      <c r="BF103" s="25">
        <f t="shared" si="121"/>
        <v>0</v>
      </c>
      <c r="BG103" s="25">
        <f t="shared" si="121"/>
        <v>0</v>
      </c>
      <c r="BH103" s="25">
        <f t="shared" si="121"/>
        <v>0</v>
      </c>
      <c r="BI103" s="25">
        <f t="shared" si="121"/>
        <v>0</v>
      </c>
      <c r="BJ103" s="25">
        <f t="shared" si="121"/>
        <v>0</v>
      </c>
      <c r="BK103" s="25">
        <f t="shared" si="121"/>
        <v>0</v>
      </c>
      <c r="BL103" s="25">
        <f t="shared" si="121"/>
        <v>0</v>
      </c>
      <c r="BM103" s="25">
        <f t="shared" si="121"/>
        <v>0</v>
      </c>
      <c r="BN103" s="25">
        <f t="shared" si="121"/>
        <v>18820000</v>
      </c>
      <c r="BO103" s="25"/>
      <c r="BP103" s="25"/>
      <c r="BQ103" s="25">
        <f t="shared" si="110"/>
        <v>0</v>
      </c>
      <c r="BR103" s="25">
        <f t="shared" si="122"/>
        <v>8015066</v>
      </c>
      <c r="BS103" s="27">
        <f t="shared" si="112"/>
        <v>0.4198459040140598</v>
      </c>
      <c r="BT103" s="25">
        <f t="shared" si="113"/>
        <v>19420000</v>
      </c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>
        <f>+'[7]JUNIO 2016'!$H$629</f>
        <v>17580000</v>
      </c>
      <c r="CK103" s="25"/>
      <c r="CL103" s="25"/>
      <c r="CM103" s="25"/>
      <c r="CN103" s="25">
        <f>+'[7]JUNIO 2016'!$H$627+'[7]JUNIO 2016'!$H$628+'[7]JUNIO 2016'!$H$631</f>
        <v>1840000</v>
      </c>
      <c r="CO103" s="27">
        <f t="shared" si="114"/>
        <v>0.58015409598594014</v>
      </c>
      <c r="CP103" s="25">
        <f t="shared" si="115"/>
        <v>26835066</v>
      </c>
      <c r="CQ103" s="25">
        <f t="shared" si="116"/>
        <v>0</v>
      </c>
      <c r="CR103" s="25">
        <f t="shared" si="116"/>
        <v>0</v>
      </c>
      <c r="CS103" s="25">
        <f t="shared" si="116"/>
        <v>0</v>
      </c>
      <c r="CT103" s="25">
        <f t="shared" si="116"/>
        <v>0</v>
      </c>
      <c r="CU103" s="25">
        <f t="shared" si="116"/>
        <v>0</v>
      </c>
      <c r="CV103" s="25">
        <f t="shared" si="116"/>
        <v>0</v>
      </c>
      <c r="CW103" s="25">
        <f t="shared" si="123"/>
        <v>0</v>
      </c>
      <c r="CX103" s="25">
        <f t="shared" si="123"/>
        <v>0</v>
      </c>
      <c r="CY103" s="25">
        <f t="shared" si="116"/>
        <v>0</v>
      </c>
      <c r="CZ103" s="25">
        <f t="shared" si="118"/>
        <v>0</v>
      </c>
      <c r="DA103" s="25">
        <f t="shared" si="118"/>
        <v>0</v>
      </c>
      <c r="DB103" s="25">
        <f t="shared" si="118"/>
        <v>0</v>
      </c>
      <c r="DC103" s="25">
        <f t="shared" si="124"/>
        <v>0</v>
      </c>
      <c r="DD103" s="25">
        <f t="shared" si="124"/>
        <v>0</v>
      </c>
      <c r="DE103" s="25">
        <f t="shared" si="124"/>
        <v>18820000</v>
      </c>
      <c r="DF103" s="25"/>
      <c r="DG103" s="25">
        <f t="shared" si="125"/>
        <v>0</v>
      </c>
      <c r="DH103" s="25">
        <f t="shared" si="125"/>
        <v>0</v>
      </c>
      <c r="DI103" s="25">
        <f t="shared" si="125"/>
        <v>8015066</v>
      </c>
    </row>
    <row r="104" spans="1:114" ht="33" customHeight="1" x14ac:dyDescent="0.25">
      <c r="A104" s="203"/>
      <c r="B104" s="186" t="s">
        <v>292</v>
      </c>
      <c r="C104" s="70" t="s">
        <v>293</v>
      </c>
      <c r="D104" s="22" t="s">
        <v>294</v>
      </c>
      <c r="E104" s="23">
        <v>301</v>
      </c>
      <c r="F104" s="24" t="s">
        <v>263</v>
      </c>
      <c r="G104" s="25">
        <f t="shared" si="103"/>
        <v>1294000000</v>
      </c>
      <c r="H104" s="25">
        <v>200000000</v>
      </c>
      <c r="I104" s="25">
        <v>268168096</v>
      </c>
      <c r="J104" s="25"/>
      <c r="K104" s="25">
        <v>701280247</v>
      </c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>
        <f>102551657+22000000</f>
        <v>124551657</v>
      </c>
      <c r="W104" s="25"/>
      <c r="X104" s="25"/>
      <c r="Y104" s="25"/>
      <c r="Z104" s="25"/>
      <c r="AB104" s="27">
        <f t="shared" si="104"/>
        <v>0.98299845440494593</v>
      </c>
      <c r="AC104" s="25">
        <f t="shared" si="105"/>
        <v>1272000000</v>
      </c>
      <c r="AD104" s="25"/>
      <c r="AE104" s="25">
        <f>+'[4]ENERO 2016'!$K$218</f>
        <v>200000000</v>
      </c>
      <c r="AF104" s="25">
        <f>+'[4]ENERO 2016'!$M$218</f>
        <v>268168096</v>
      </c>
      <c r="AG104" s="25"/>
      <c r="AH104" s="25">
        <f>+'[4]ENERO 2016'!$O$218</f>
        <v>701280247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>
        <f>+'[4]ENERO 2016'!$Z$218</f>
        <v>102551657</v>
      </c>
      <c r="AT104" s="25"/>
      <c r="AU104" s="25"/>
      <c r="AV104" s="25"/>
      <c r="AW104" s="25"/>
      <c r="AX104" s="27">
        <f t="shared" si="106"/>
        <v>1.7001545595054068E-2</v>
      </c>
      <c r="AY104" s="25">
        <f t="shared" si="107"/>
        <v>22000000</v>
      </c>
      <c r="AZ104" s="25">
        <f t="shared" si="108"/>
        <v>0</v>
      </c>
      <c r="BA104" s="25">
        <f t="shared" si="108"/>
        <v>0</v>
      </c>
      <c r="BB104" s="25">
        <f t="shared" si="108"/>
        <v>0</v>
      </c>
      <c r="BC104" s="25">
        <f t="shared" si="121"/>
        <v>0</v>
      </c>
      <c r="BD104" s="25">
        <f t="shared" si="121"/>
        <v>0</v>
      </c>
      <c r="BE104" s="25">
        <f t="shared" si="121"/>
        <v>0</v>
      </c>
      <c r="BF104" s="25">
        <f t="shared" si="121"/>
        <v>0</v>
      </c>
      <c r="BG104" s="25">
        <f t="shared" si="121"/>
        <v>0</v>
      </c>
      <c r="BH104" s="25">
        <f t="shared" si="121"/>
        <v>0</v>
      </c>
      <c r="BI104" s="25">
        <f t="shared" si="121"/>
        <v>0</v>
      </c>
      <c r="BJ104" s="25">
        <f t="shared" si="121"/>
        <v>0</v>
      </c>
      <c r="BK104" s="25">
        <f t="shared" si="121"/>
        <v>0</v>
      </c>
      <c r="BL104" s="25">
        <f t="shared" si="121"/>
        <v>0</v>
      </c>
      <c r="BM104" s="25">
        <f t="shared" si="121"/>
        <v>0</v>
      </c>
      <c r="BN104" s="25">
        <f t="shared" si="121"/>
        <v>22000000</v>
      </c>
      <c r="BO104" s="25"/>
      <c r="BP104" s="25"/>
      <c r="BQ104" s="25">
        <f t="shared" si="110"/>
        <v>0</v>
      </c>
      <c r="BR104" s="25">
        <f t="shared" si="122"/>
        <v>0</v>
      </c>
      <c r="BS104" s="27">
        <f t="shared" si="112"/>
        <v>0.981768271251932</v>
      </c>
      <c r="BT104" s="25">
        <f t="shared" si="113"/>
        <v>1270408143</v>
      </c>
      <c r="BU104" s="25"/>
      <c r="BV104" s="25">
        <f>+'[1]AGOSTO 2016'!$H$881</f>
        <v>198408143</v>
      </c>
      <c r="BW104" s="25">
        <v>268168096</v>
      </c>
      <c r="BX104" s="25"/>
      <c r="BY104" s="25">
        <v>701280247</v>
      </c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>
        <v>102551657</v>
      </c>
      <c r="CK104" s="25"/>
      <c r="CL104" s="25"/>
      <c r="CM104" s="25"/>
      <c r="CN104" s="25"/>
      <c r="CO104" s="27">
        <f t="shared" si="114"/>
        <v>1.8231728748067999E-2</v>
      </c>
      <c r="CP104" s="25">
        <f t="shared" si="115"/>
        <v>23591857</v>
      </c>
      <c r="CQ104" s="25">
        <f t="shared" si="116"/>
        <v>1591857</v>
      </c>
      <c r="CR104" s="25">
        <f t="shared" si="116"/>
        <v>0</v>
      </c>
      <c r="CS104" s="25">
        <f t="shared" si="116"/>
        <v>0</v>
      </c>
      <c r="CT104" s="25">
        <f t="shared" si="116"/>
        <v>0</v>
      </c>
      <c r="CU104" s="25">
        <f t="shared" si="116"/>
        <v>0</v>
      </c>
      <c r="CV104" s="25">
        <f t="shared" si="116"/>
        <v>0</v>
      </c>
      <c r="CW104" s="25">
        <f t="shared" si="123"/>
        <v>0</v>
      </c>
      <c r="CX104" s="25">
        <f t="shared" si="123"/>
        <v>0</v>
      </c>
      <c r="CY104" s="25">
        <f t="shared" si="116"/>
        <v>0</v>
      </c>
      <c r="CZ104" s="25">
        <f t="shared" si="118"/>
        <v>0</v>
      </c>
      <c r="DA104" s="25">
        <f t="shared" si="118"/>
        <v>0</v>
      </c>
      <c r="DB104" s="25">
        <f t="shared" si="118"/>
        <v>0</v>
      </c>
      <c r="DC104" s="25">
        <f t="shared" si="124"/>
        <v>0</v>
      </c>
      <c r="DD104" s="25">
        <f t="shared" si="124"/>
        <v>0</v>
      </c>
      <c r="DE104" s="25">
        <f t="shared" si="124"/>
        <v>22000000</v>
      </c>
      <c r="DF104" s="25"/>
      <c r="DG104" s="25">
        <f t="shared" si="125"/>
        <v>0</v>
      </c>
      <c r="DH104" s="25">
        <f t="shared" si="125"/>
        <v>0</v>
      </c>
      <c r="DI104" s="25">
        <f t="shared" si="125"/>
        <v>0</v>
      </c>
    </row>
    <row r="105" spans="1:114" ht="47.25" customHeight="1" x14ac:dyDescent="0.25">
      <c r="A105" s="203"/>
      <c r="B105" s="187"/>
      <c r="C105" s="70" t="s">
        <v>295</v>
      </c>
      <c r="D105" s="22" t="s">
        <v>296</v>
      </c>
      <c r="E105" s="23">
        <v>301</v>
      </c>
      <c r="F105" s="24" t="s">
        <v>263</v>
      </c>
      <c r="G105" s="25">
        <f t="shared" si="103"/>
        <v>20000000</v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>
        <v>20000000</v>
      </c>
      <c r="W105" s="25"/>
      <c r="X105" s="25"/>
      <c r="Y105" s="25"/>
      <c r="Z105" s="25"/>
      <c r="AB105" s="27">
        <f t="shared" si="104"/>
        <v>1</v>
      </c>
      <c r="AC105" s="25">
        <f t="shared" si="105"/>
        <v>20000000</v>
      </c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>
        <f>+'[4]ENERO 2016'!$Z$227</f>
        <v>20000000</v>
      </c>
      <c r="AT105" s="25"/>
      <c r="AU105" s="25"/>
      <c r="AV105" s="25"/>
      <c r="AW105" s="25"/>
      <c r="AX105" s="27">
        <f t="shared" si="106"/>
        <v>0</v>
      </c>
      <c r="AY105" s="25">
        <f t="shared" si="107"/>
        <v>0</v>
      </c>
      <c r="AZ105" s="25">
        <f t="shared" si="108"/>
        <v>0</v>
      </c>
      <c r="BA105" s="25">
        <f t="shared" si="108"/>
        <v>0</v>
      </c>
      <c r="BB105" s="25">
        <f t="shared" si="108"/>
        <v>0</v>
      </c>
      <c r="BC105" s="25">
        <f t="shared" si="121"/>
        <v>0</v>
      </c>
      <c r="BD105" s="25">
        <f t="shared" si="121"/>
        <v>0</v>
      </c>
      <c r="BE105" s="25">
        <f t="shared" si="121"/>
        <v>0</v>
      </c>
      <c r="BF105" s="25">
        <f t="shared" si="121"/>
        <v>0</v>
      </c>
      <c r="BG105" s="25">
        <f t="shared" si="121"/>
        <v>0</v>
      </c>
      <c r="BH105" s="25">
        <f t="shared" si="121"/>
        <v>0</v>
      </c>
      <c r="BI105" s="25">
        <f t="shared" si="121"/>
        <v>0</v>
      </c>
      <c r="BJ105" s="25">
        <f t="shared" si="121"/>
        <v>0</v>
      </c>
      <c r="BK105" s="25">
        <f t="shared" si="121"/>
        <v>0</v>
      </c>
      <c r="BL105" s="25">
        <f t="shared" si="121"/>
        <v>0</v>
      </c>
      <c r="BM105" s="25">
        <f t="shared" si="121"/>
        <v>0</v>
      </c>
      <c r="BN105" s="25">
        <f t="shared" si="121"/>
        <v>0</v>
      </c>
      <c r="BO105" s="25"/>
      <c r="BP105" s="25"/>
      <c r="BQ105" s="25">
        <f t="shared" si="110"/>
        <v>0</v>
      </c>
      <c r="BR105" s="25">
        <f t="shared" si="122"/>
        <v>0</v>
      </c>
      <c r="BS105" s="27">
        <f t="shared" si="112"/>
        <v>0.95945619999999998</v>
      </c>
      <c r="BT105" s="25">
        <f t="shared" si="113"/>
        <v>19189124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>
        <f>+'[1]AGOSTO 2016'!$H$899</f>
        <v>19189124</v>
      </c>
      <c r="CK105" s="25"/>
      <c r="CL105" s="25"/>
      <c r="CM105" s="25"/>
      <c r="CN105" s="25"/>
      <c r="CO105" s="27">
        <f t="shared" si="114"/>
        <v>4.0543800000000019E-2</v>
      </c>
      <c r="CP105" s="25">
        <f t="shared" si="115"/>
        <v>810876</v>
      </c>
      <c r="CQ105" s="25">
        <f t="shared" si="116"/>
        <v>0</v>
      </c>
      <c r="CR105" s="25">
        <f t="shared" si="116"/>
        <v>0</v>
      </c>
      <c r="CS105" s="25">
        <f t="shared" si="116"/>
        <v>0</v>
      </c>
      <c r="CT105" s="25">
        <f t="shared" si="116"/>
        <v>0</v>
      </c>
      <c r="CU105" s="25">
        <f t="shared" si="116"/>
        <v>0</v>
      </c>
      <c r="CV105" s="25">
        <f t="shared" si="116"/>
        <v>0</v>
      </c>
      <c r="CW105" s="25">
        <f t="shared" si="123"/>
        <v>0</v>
      </c>
      <c r="CX105" s="25">
        <f t="shared" si="123"/>
        <v>0</v>
      </c>
      <c r="CY105" s="25">
        <f t="shared" si="116"/>
        <v>0</v>
      </c>
      <c r="CZ105" s="25">
        <f t="shared" si="118"/>
        <v>0</v>
      </c>
      <c r="DA105" s="25">
        <f t="shared" si="118"/>
        <v>0</v>
      </c>
      <c r="DB105" s="25">
        <f t="shared" si="118"/>
        <v>0</v>
      </c>
      <c r="DC105" s="25">
        <f t="shared" si="124"/>
        <v>0</v>
      </c>
      <c r="DD105" s="25">
        <f t="shared" si="124"/>
        <v>0</v>
      </c>
      <c r="DE105" s="25">
        <f t="shared" si="124"/>
        <v>810876</v>
      </c>
      <c r="DF105" s="25"/>
      <c r="DG105" s="25">
        <f t="shared" si="125"/>
        <v>0</v>
      </c>
      <c r="DH105" s="25">
        <f t="shared" si="125"/>
        <v>0</v>
      </c>
      <c r="DI105" s="25">
        <f t="shared" si="125"/>
        <v>0</v>
      </c>
    </row>
    <row r="106" spans="1:114" ht="35.25" customHeight="1" x14ac:dyDescent="0.25">
      <c r="A106" s="203"/>
      <c r="B106" s="188"/>
      <c r="C106" s="70" t="s">
        <v>297</v>
      </c>
      <c r="D106" s="22" t="s">
        <v>298</v>
      </c>
      <c r="E106" s="91">
        <v>301</v>
      </c>
      <c r="F106" s="24" t="s">
        <v>263</v>
      </c>
      <c r="G106" s="25">
        <f t="shared" si="103"/>
        <v>100000000</v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>
        <v>100000000</v>
      </c>
      <c r="W106" s="25"/>
      <c r="X106" s="25"/>
      <c r="Y106" s="25"/>
      <c r="Z106" s="25"/>
      <c r="AB106" s="27">
        <f t="shared" si="104"/>
        <v>1</v>
      </c>
      <c r="AC106" s="25">
        <f t="shared" si="105"/>
        <v>100000000</v>
      </c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>
        <f>+'[3]ABRIL 2016'!$Z$480</f>
        <v>100000000</v>
      </c>
      <c r="AT106" s="25"/>
      <c r="AU106" s="25"/>
      <c r="AV106" s="25"/>
      <c r="AW106" s="25"/>
      <c r="AX106" s="27">
        <f t="shared" si="106"/>
        <v>0</v>
      </c>
      <c r="AY106" s="25">
        <f t="shared" si="107"/>
        <v>0</v>
      </c>
      <c r="AZ106" s="25">
        <f t="shared" si="108"/>
        <v>0</v>
      </c>
      <c r="BA106" s="25">
        <f t="shared" si="108"/>
        <v>0</v>
      </c>
      <c r="BB106" s="25">
        <f t="shared" si="108"/>
        <v>0</v>
      </c>
      <c r="BC106" s="25">
        <f t="shared" si="121"/>
        <v>0</v>
      </c>
      <c r="BD106" s="25">
        <f t="shared" si="121"/>
        <v>0</v>
      </c>
      <c r="BE106" s="25">
        <f t="shared" si="121"/>
        <v>0</v>
      </c>
      <c r="BF106" s="25">
        <f t="shared" si="121"/>
        <v>0</v>
      </c>
      <c r="BG106" s="25">
        <f t="shared" si="121"/>
        <v>0</v>
      </c>
      <c r="BH106" s="25">
        <f t="shared" si="121"/>
        <v>0</v>
      </c>
      <c r="BI106" s="25">
        <f t="shared" si="121"/>
        <v>0</v>
      </c>
      <c r="BJ106" s="25">
        <f t="shared" si="121"/>
        <v>0</v>
      </c>
      <c r="BK106" s="25">
        <f t="shared" si="121"/>
        <v>0</v>
      </c>
      <c r="BL106" s="25">
        <f t="shared" si="121"/>
        <v>0</v>
      </c>
      <c r="BM106" s="25">
        <f t="shared" si="121"/>
        <v>0</v>
      </c>
      <c r="BN106" s="25">
        <f t="shared" si="121"/>
        <v>0</v>
      </c>
      <c r="BO106" s="25"/>
      <c r="BP106" s="25"/>
      <c r="BQ106" s="25">
        <f t="shared" si="110"/>
        <v>0</v>
      </c>
      <c r="BR106" s="25">
        <f t="shared" si="122"/>
        <v>0</v>
      </c>
      <c r="BS106" s="27">
        <f t="shared" si="112"/>
        <v>0.79999646000000002</v>
      </c>
      <c r="BT106" s="25">
        <f t="shared" si="113"/>
        <v>79999646</v>
      </c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>
        <f>+'[1]AGOSTO 2016'!$H$904</f>
        <v>79999646</v>
      </c>
      <c r="CK106" s="25"/>
      <c r="CL106" s="25"/>
      <c r="CM106" s="25"/>
      <c r="CN106" s="25"/>
      <c r="CO106" s="27">
        <f t="shared" si="114"/>
        <v>0.20000353999999998</v>
      </c>
      <c r="CP106" s="25">
        <f t="shared" si="115"/>
        <v>20000354</v>
      </c>
      <c r="CQ106" s="25">
        <f t="shared" si="116"/>
        <v>0</v>
      </c>
      <c r="CR106" s="25">
        <f t="shared" si="116"/>
        <v>0</v>
      </c>
      <c r="CS106" s="25">
        <f t="shared" si="116"/>
        <v>0</v>
      </c>
      <c r="CT106" s="25">
        <f t="shared" si="116"/>
        <v>0</v>
      </c>
      <c r="CU106" s="25">
        <f t="shared" si="116"/>
        <v>0</v>
      </c>
      <c r="CV106" s="25">
        <f t="shared" si="116"/>
        <v>0</v>
      </c>
      <c r="CW106" s="25">
        <f t="shared" si="123"/>
        <v>0</v>
      </c>
      <c r="CX106" s="25">
        <f t="shared" si="123"/>
        <v>0</v>
      </c>
      <c r="CY106" s="25">
        <f t="shared" si="116"/>
        <v>0</v>
      </c>
      <c r="CZ106" s="25">
        <f t="shared" si="118"/>
        <v>0</v>
      </c>
      <c r="DA106" s="25">
        <f t="shared" si="118"/>
        <v>0</v>
      </c>
      <c r="DB106" s="25">
        <f t="shared" si="118"/>
        <v>0</v>
      </c>
      <c r="DC106" s="25">
        <f t="shared" si="124"/>
        <v>0</v>
      </c>
      <c r="DD106" s="25">
        <f t="shared" si="124"/>
        <v>0</v>
      </c>
      <c r="DE106" s="25">
        <f t="shared" si="124"/>
        <v>20000354</v>
      </c>
      <c r="DF106" s="25"/>
      <c r="DG106" s="25">
        <f t="shared" si="125"/>
        <v>0</v>
      </c>
      <c r="DH106" s="25">
        <f t="shared" si="125"/>
        <v>0</v>
      </c>
      <c r="DI106" s="25">
        <f t="shared" si="125"/>
        <v>0</v>
      </c>
    </row>
    <row r="107" spans="1:114" ht="46.5" customHeight="1" x14ac:dyDescent="0.25">
      <c r="A107" s="203"/>
      <c r="B107" s="90" t="s">
        <v>299</v>
      </c>
      <c r="C107" s="70" t="s">
        <v>300</v>
      </c>
      <c r="D107" s="22" t="s">
        <v>301</v>
      </c>
      <c r="E107" s="91">
        <v>301</v>
      </c>
      <c r="F107" s="24" t="s">
        <v>263</v>
      </c>
      <c r="G107" s="25">
        <f t="shared" si="103"/>
        <v>50000000</v>
      </c>
      <c r="H107" s="25"/>
      <c r="I107" s="25">
        <f>50000000-50000000</f>
        <v>0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>
        <f>21264791+28735209</f>
        <v>50000000</v>
      </c>
      <c r="V107" s="25"/>
      <c r="W107" s="25"/>
      <c r="X107" s="25"/>
      <c r="Y107" s="25"/>
      <c r="Z107" s="25"/>
      <c r="AB107" s="27">
        <f t="shared" si="104"/>
        <v>0.94517945999999997</v>
      </c>
      <c r="AC107" s="25">
        <f t="shared" si="105"/>
        <v>47258973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>
        <f>+'[1]AGOSTO 2016'!$Y$941</f>
        <v>47258973</v>
      </c>
      <c r="AS107" s="25"/>
      <c r="AT107" s="25"/>
      <c r="AU107" s="25"/>
      <c r="AV107" s="25"/>
      <c r="AW107" s="25"/>
      <c r="AX107" s="27">
        <f t="shared" si="106"/>
        <v>5.4820540000000029E-2</v>
      </c>
      <c r="AY107" s="25">
        <f t="shared" si="107"/>
        <v>2741027</v>
      </c>
      <c r="AZ107" s="25">
        <f t="shared" si="108"/>
        <v>0</v>
      </c>
      <c r="BA107" s="25">
        <f t="shared" si="108"/>
        <v>0</v>
      </c>
      <c r="BB107" s="25">
        <f t="shared" si="108"/>
        <v>0</v>
      </c>
      <c r="BC107" s="25">
        <f t="shared" si="121"/>
        <v>0</v>
      </c>
      <c r="BD107" s="25">
        <f t="shared" si="121"/>
        <v>0</v>
      </c>
      <c r="BE107" s="25">
        <f t="shared" si="121"/>
        <v>0</v>
      </c>
      <c r="BF107" s="25">
        <f t="shared" si="121"/>
        <v>0</v>
      </c>
      <c r="BG107" s="25">
        <f t="shared" si="121"/>
        <v>0</v>
      </c>
      <c r="BH107" s="25">
        <f t="shared" si="121"/>
        <v>0</v>
      </c>
      <c r="BI107" s="25">
        <f t="shared" si="121"/>
        <v>0</v>
      </c>
      <c r="BJ107" s="25">
        <f t="shared" si="121"/>
        <v>0</v>
      </c>
      <c r="BK107" s="25">
        <f t="shared" si="121"/>
        <v>0</v>
      </c>
      <c r="BL107" s="25">
        <f t="shared" si="121"/>
        <v>0</v>
      </c>
      <c r="BM107" s="25">
        <f t="shared" si="121"/>
        <v>2741027</v>
      </c>
      <c r="BN107" s="25">
        <f t="shared" si="121"/>
        <v>0</v>
      </c>
      <c r="BO107" s="25"/>
      <c r="BP107" s="25"/>
      <c r="BQ107" s="25">
        <f t="shared" si="110"/>
        <v>0</v>
      </c>
      <c r="BR107" s="25">
        <f t="shared" si="122"/>
        <v>0</v>
      </c>
      <c r="BS107" s="27">
        <f t="shared" si="112"/>
        <v>0.94517945999999997</v>
      </c>
      <c r="BT107" s="25">
        <f t="shared" si="113"/>
        <v>47258973</v>
      </c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>
        <f>+'[1]AGOSTO 2016'!$H$939</f>
        <v>47258973</v>
      </c>
      <c r="CJ107" s="25"/>
      <c r="CK107" s="25"/>
      <c r="CL107" s="25"/>
      <c r="CM107" s="25"/>
      <c r="CN107" s="25"/>
      <c r="CO107" s="27">
        <f t="shared" si="114"/>
        <v>5.4820540000000029E-2</v>
      </c>
      <c r="CP107" s="25">
        <f t="shared" si="115"/>
        <v>2741027</v>
      </c>
      <c r="CQ107" s="25">
        <f t="shared" si="116"/>
        <v>0</v>
      </c>
      <c r="CR107" s="25">
        <f t="shared" si="116"/>
        <v>0</v>
      </c>
      <c r="CS107" s="25">
        <f t="shared" si="116"/>
        <v>0</v>
      </c>
      <c r="CT107" s="25">
        <f t="shared" si="116"/>
        <v>0</v>
      </c>
      <c r="CU107" s="25">
        <f t="shared" si="116"/>
        <v>0</v>
      </c>
      <c r="CV107" s="25">
        <f t="shared" si="116"/>
        <v>0</v>
      </c>
      <c r="CW107" s="25">
        <f t="shared" si="123"/>
        <v>0</v>
      </c>
      <c r="CX107" s="25">
        <f t="shared" si="123"/>
        <v>0</v>
      </c>
      <c r="CY107" s="25">
        <f t="shared" si="116"/>
        <v>0</v>
      </c>
      <c r="CZ107" s="25">
        <f t="shared" si="118"/>
        <v>0</v>
      </c>
      <c r="DA107" s="25">
        <f t="shared" si="118"/>
        <v>0</v>
      </c>
      <c r="DB107" s="25">
        <f t="shared" si="118"/>
        <v>0</v>
      </c>
      <c r="DC107" s="25">
        <f t="shared" si="124"/>
        <v>0</v>
      </c>
      <c r="DD107" s="25">
        <f t="shared" si="124"/>
        <v>2741027</v>
      </c>
      <c r="DE107" s="25">
        <f t="shared" si="124"/>
        <v>0</v>
      </c>
      <c r="DF107" s="25"/>
      <c r="DG107" s="25">
        <f t="shared" si="125"/>
        <v>0</v>
      </c>
      <c r="DH107" s="25">
        <f t="shared" si="125"/>
        <v>0</v>
      </c>
      <c r="DI107" s="25">
        <f t="shared" si="125"/>
        <v>0</v>
      </c>
    </row>
    <row r="108" spans="1:114" s="47" customFormat="1" ht="21" customHeight="1" thickBot="1" x14ac:dyDescent="0.3">
      <c r="A108" s="74"/>
      <c r="B108" s="204" t="s">
        <v>302</v>
      </c>
      <c r="C108" s="205"/>
      <c r="D108" s="205"/>
      <c r="E108" s="205"/>
      <c r="F108" s="206"/>
      <c r="G108" s="63">
        <f t="shared" ref="G108:Z108" si="126">SUM(G93:G107)</f>
        <v>2606465655</v>
      </c>
      <c r="H108" s="63">
        <f t="shared" si="126"/>
        <v>200000000</v>
      </c>
      <c r="I108" s="63">
        <f t="shared" si="126"/>
        <v>268168096</v>
      </c>
      <c r="J108" s="63">
        <f t="shared" si="126"/>
        <v>0</v>
      </c>
      <c r="K108" s="63">
        <f t="shared" si="126"/>
        <v>701280247</v>
      </c>
      <c r="L108" s="63">
        <f t="shared" si="126"/>
        <v>0</v>
      </c>
      <c r="M108" s="63">
        <f t="shared" si="126"/>
        <v>0</v>
      </c>
      <c r="N108" s="63">
        <f t="shared" si="126"/>
        <v>0</v>
      </c>
      <c r="O108" s="63">
        <f t="shared" si="126"/>
        <v>0</v>
      </c>
      <c r="P108" s="63">
        <f t="shared" si="126"/>
        <v>0</v>
      </c>
      <c r="Q108" s="63">
        <f t="shared" si="126"/>
        <v>0</v>
      </c>
      <c r="R108" s="63">
        <f t="shared" si="126"/>
        <v>0</v>
      </c>
      <c r="S108" s="63">
        <f t="shared" si="126"/>
        <v>0</v>
      </c>
      <c r="T108" s="63">
        <f t="shared" si="126"/>
        <v>0</v>
      </c>
      <c r="U108" s="63">
        <f t="shared" si="126"/>
        <v>103185104</v>
      </c>
      <c r="V108" s="63">
        <f t="shared" si="126"/>
        <v>1262551657</v>
      </c>
      <c r="W108" s="63">
        <f t="shared" si="126"/>
        <v>0</v>
      </c>
      <c r="X108" s="63">
        <f t="shared" si="126"/>
        <v>0</v>
      </c>
      <c r="Y108" s="63">
        <f t="shared" si="126"/>
        <v>0</v>
      </c>
      <c r="Z108" s="63">
        <f t="shared" si="126"/>
        <v>71280551</v>
      </c>
      <c r="AB108" s="43">
        <f t="shared" si="104"/>
        <v>0.86550847645832496</v>
      </c>
      <c r="AC108" s="63">
        <f>SUM(AC93:AC107)</f>
        <v>2255918118</v>
      </c>
      <c r="AD108" s="63"/>
      <c r="AE108" s="63">
        <f>SUM(AE93:AE107)</f>
        <v>200000000</v>
      </c>
      <c r="AF108" s="63">
        <f t="shared" ref="AF108:AW108" si="127">SUM(AF93:AF107)</f>
        <v>268168096</v>
      </c>
      <c r="AG108" s="63">
        <f t="shared" si="127"/>
        <v>0</v>
      </c>
      <c r="AH108" s="63">
        <f t="shared" si="127"/>
        <v>701280247</v>
      </c>
      <c r="AI108" s="63">
        <f t="shared" si="127"/>
        <v>0</v>
      </c>
      <c r="AJ108" s="63">
        <f t="shared" si="127"/>
        <v>0</v>
      </c>
      <c r="AK108" s="63">
        <f t="shared" si="127"/>
        <v>0</v>
      </c>
      <c r="AL108" s="63">
        <f t="shared" si="127"/>
        <v>0</v>
      </c>
      <c r="AM108" s="63">
        <f t="shared" si="127"/>
        <v>0</v>
      </c>
      <c r="AN108" s="63">
        <f t="shared" si="127"/>
        <v>0</v>
      </c>
      <c r="AO108" s="63">
        <f t="shared" si="127"/>
        <v>0</v>
      </c>
      <c r="AP108" s="63">
        <f t="shared" si="127"/>
        <v>0</v>
      </c>
      <c r="AQ108" s="63">
        <f t="shared" si="127"/>
        <v>0</v>
      </c>
      <c r="AR108" s="63">
        <f t="shared" si="127"/>
        <v>47258973</v>
      </c>
      <c r="AS108" s="63">
        <f t="shared" si="127"/>
        <v>1011320055</v>
      </c>
      <c r="AT108" s="63">
        <f t="shared" si="127"/>
        <v>0</v>
      </c>
      <c r="AU108" s="63">
        <f t="shared" si="127"/>
        <v>0</v>
      </c>
      <c r="AV108" s="63">
        <f t="shared" si="127"/>
        <v>0</v>
      </c>
      <c r="AW108" s="63">
        <f t="shared" si="127"/>
        <v>27890747</v>
      </c>
      <c r="AX108" s="43">
        <f t="shared" si="106"/>
        <v>0.13449152354167504</v>
      </c>
      <c r="AY108" s="63">
        <f>SUM(AY93:AY107)</f>
        <v>350547537</v>
      </c>
      <c r="AZ108" s="63">
        <f t="shared" ref="AZ108:BR108" si="128">SUM(AZ93:AZ107)</f>
        <v>0</v>
      </c>
      <c r="BA108" s="63">
        <f t="shared" si="128"/>
        <v>0</v>
      </c>
      <c r="BB108" s="63">
        <f t="shared" si="128"/>
        <v>0</v>
      </c>
      <c r="BC108" s="63">
        <f t="shared" si="128"/>
        <v>0</v>
      </c>
      <c r="BD108" s="63">
        <f t="shared" si="128"/>
        <v>0</v>
      </c>
      <c r="BE108" s="63">
        <f t="shared" si="128"/>
        <v>0</v>
      </c>
      <c r="BF108" s="63">
        <f t="shared" si="128"/>
        <v>0</v>
      </c>
      <c r="BG108" s="63">
        <f t="shared" si="128"/>
        <v>0</v>
      </c>
      <c r="BH108" s="63">
        <f t="shared" si="128"/>
        <v>0</v>
      </c>
      <c r="BI108" s="63">
        <f t="shared" si="128"/>
        <v>0</v>
      </c>
      <c r="BJ108" s="63">
        <f t="shared" si="128"/>
        <v>0</v>
      </c>
      <c r="BK108" s="63">
        <f t="shared" si="128"/>
        <v>0</v>
      </c>
      <c r="BL108" s="63">
        <f t="shared" si="128"/>
        <v>0</v>
      </c>
      <c r="BM108" s="63">
        <f t="shared" si="128"/>
        <v>55926131</v>
      </c>
      <c r="BN108" s="63">
        <f t="shared" si="128"/>
        <v>251231602</v>
      </c>
      <c r="BO108" s="63">
        <f t="shared" si="128"/>
        <v>0</v>
      </c>
      <c r="BP108" s="63">
        <f t="shared" si="128"/>
        <v>0</v>
      </c>
      <c r="BQ108" s="63">
        <f t="shared" si="128"/>
        <v>0</v>
      </c>
      <c r="BR108" s="63">
        <f t="shared" si="128"/>
        <v>43389804</v>
      </c>
      <c r="BS108" s="43">
        <f t="shared" si="112"/>
        <v>0.83144427851668734</v>
      </c>
      <c r="BT108" s="63">
        <f>SUM(BT93:BT107)</f>
        <v>2167130956</v>
      </c>
      <c r="BU108" s="63">
        <f>SUM(BU93:BU107)</f>
        <v>0</v>
      </c>
      <c r="BV108" s="63">
        <f>SUM(BV93:BV107)</f>
        <v>198408143</v>
      </c>
      <c r="BW108" s="63">
        <f>SUM(BW93:BW107)</f>
        <v>268168096</v>
      </c>
      <c r="BX108" s="63"/>
      <c r="BY108" s="63">
        <f>SUM(BY93:BY107)</f>
        <v>701280247</v>
      </c>
      <c r="BZ108" s="63">
        <f>SUM(BZ93:BZ107)</f>
        <v>0</v>
      </c>
      <c r="CA108" s="63"/>
      <c r="CB108" s="63">
        <f t="shared" ref="CB108:CJ108" si="129">SUM(CB93:CB107)</f>
        <v>0</v>
      </c>
      <c r="CC108" s="63">
        <f t="shared" si="129"/>
        <v>0</v>
      </c>
      <c r="CD108" s="63">
        <f t="shared" si="129"/>
        <v>0</v>
      </c>
      <c r="CE108" s="63">
        <f t="shared" si="129"/>
        <v>0</v>
      </c>
      <c r="CF108" s="63">
        <f t="shared" si="129"/>
        <v>0</v>
      </c>
      <c r="CG108" s="63">
        <f t="shared" si="129"/>
        <v>0</v>
      </c>
      <c r="CH108" s="63">
        <f t="shared" si="129"/>
        <v>0</v>
      </c>
      <c r="CI108" s="63">
        <f t="shared" si="129"/>
        <v>47258973</v>
      </c>
      <c r="CJ108" s="63">
        <f t="shared" si="129"/>
        <v>925219270</v>
      </c>
      <c r="CK108" s="63"/>
      <c r="CL108" s="63">
        <f>SUM(CL93:CL107)</f>
        <v>0</v>
      </c>
      <c r="CM108" s="63">
        <f>SUM(CM93:CM107)</f>
        <v>0</v>
      </c>
      <c r="CN108" s="63">
        <f>SUM(CN93:CN107)</f>
        <v>26796227</v>
      </c>
      <c r="CO108" s="43">
        <f t="shared" si="114"/>
        <v>0.16855572148331266</v>
      </c>
      <c r="CP108" s="63">
        <f t="shared" ref="CP108:DI108" si="130">SUM(CP93:CP107)</f>
        <v>439334699</v>
      </c>
      <c r="CQ108" s="63">
        <f t="shared" si="130"/>
        <v>1591857</v>
      </c>
      <c r="CR108" s="63">
        <f t="shared" si="130"/>
        <v>0</v>
      </c>
      <c r="CS108" s="63">
        <f t="shared" si="130"/>
        <v>0</v>
      </c>
      <c r="CT108" s="63">
        <f t="shared" si="130"/>
        <v>0</v>
      </c>
      <c r="CU108" s="63">
        <f t="shared" si="130"/>
        <v>0</v>
      </c>
      <c r="CV108" s="63">
        <f t="shared" si="130"/>
        <v>0</v>
      </c>
      <c r="CW108" s="63">
        <f t="shared" si="130"/>
        <v>0</v>
      </c>
      <c r="CX108" s="63">
        <f t="shared" si="130"/>
        <v>0</v>
      </c>
      <c r="CY108" s="63">
        <f t="shared" si="130"/>
        <v>0</v>
      </c>
      <c r="CZ108" s="63">
        <f t="shared" si="130"/>
        <v>0</v>
      </c>
      <c r="DA108" s="63">
        <f t="shared" si="130"/>
        <v>0</v>
      </c>
      <c r="DB108" s="63">
        <f t="shared" si="130"/>
        <v>0</v>
      </c>
      <c r="DC108" s="63">
        <f t="shared" si="130"/>
        <v>0</v>
      </c>
      <c r="DD108" s="63">
        <f t="shared" si="130"/>
        <v>55926131</v>
      </c>
      <c r="DE108" s="63">
        <f t="shared" si="130"/>
        <v>337332387</v>
      </c>
      <c r="DF108" s="63">
        <f t="shared" si="130"/>
        <v>0</v>
      </c>
      <c r="DG108" s="63">
        <f t="shared" si="130"/>
        <v>0</v>
      </c>
      <c r="DH108" s="63">
        <f t="shared" si="130"/>
        <v>0</v>
      </c>
      <c r="DI108" s="92">
        <f t="shared" si="130"/>
        <v>44484324</v>
      </c>
    </row>
    <row r="109" spans="1:114" ht="51" customHeight="1" thickTop="1" x14ac:dyDescent="0.25">
      <c r="A109" s="196" t="s">
        <v>303</v>
      </c>
      <c r="B109" s="192" t="s">
        <v>304</v>
      </c>
      <c r="C109" s="70" t="s">
        <v>305</v>
      </c>
      <c r="D109" s="22" t="s">
        <v>306</v>
      </c>
      <c r="E109" s="93">
        <v>111</v>
      </c>
      <c r="F109" s="24" t="s">
        <v>307</v>
      </c>
      <c r="G109" s="25">
        <f t="shared" ref="G109:G127" si="131">SUM(H109:Z109)</f>
        <v>2779574241</v>
      </c>
      <c r="H109" s="25"/>
      <c r="I109" s="25">
        <f>2264025000</f>
        <v>2264025000</v>
      </c>
      <c r="J109" s="25">
        <f>72450095-52147109</f>
        <v>20302986</v>
      </c>
      <c r="K109" s="25"/>
      <c r="L109" s="25"/>
      <c r="M109" s="25">
        <f>54387</f>
        <v>54387</v>
      </c>
      <c r="N109" s="25">
        <f>30665828</f>
        <v>30665828</v>
      </c>
      <c r="O109" s="25">
        <f>1940856</f>
        <v>1940856</v>
      </c>
      <c r="P109" s="25"/>
      <c r="Q109" s="56">
        <f>60000000+100000000</f>
        <v>160000000</v>
      </c>
      <c r="R109" s="25"/>
      <c r="S109" s="25"/>
      <c r="T109" s="25"/>
      <c r="U109" s="25"/>
      <c r="V109" s="25"/>
      <c r="W109" s="25"/>
      <c r="X109" s="25"/>
      <c r="Y109" s="25"/>
      <c r="Z109" s="25">
        <f>28000000+784585184-485000000-9000000-16000000</f>
        <v>302585184</v>
      </c>
      <c r="AA109" s="94"/>
      <c r="AB109" s="27">
        <f t="shared" si="104"/>
        <v>0.48238470598202671</v>
      </c>
      <c r="AC109" s="25">
        <f t="shared" ref="AC109:AC127" si="132">SUM(AD109:AW109)</f>
        <v>1340824103</v>
      </c>
      <c r="AD109" s="25"/>
      <c r="AE109" s="25"/>
      <c r="AF109" s="25">
        <f>+'[1]AGOSTO 2016'!$M$18</f>
        <v>1339144887</v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>
        <f>+'[1]AGOSTO 2016'!$AG$18</f>
        <v>1679216</v>
      </c>
      <c r="AX109" s="27">
        <f t="shared" si="106"/>
        <v>0.51761529401797324</v>
      </c>
      <c r="AY109" s="25">
        <f t="shared" ref="AY109:AY127" si="133">SUM(AZ109:BR109)</f>
        <v>1438750138</v>
      </c>
      <c r="AZ109" s="25">
        <f t="shared" ref="AZ109:BN120" si="134">H109-AE109</f>
        <v>0</v>
      </c>
      <c r="BA109" s="25">
        <f t="shared" si="134"/>
        <v>924880113</v>
      </c>
      <c r="BB109" s="25">
        <f t="shared" si="134"/>
        <v>20302986</v>
      </c>
      <c r="BC109" s="25">
        <f t="shared" ref="BC109:BN119" si="135">+K109-AH109</f>
        <v>0</v>
      </c>
      <c r="BD109" s="25">
        <f t="shared" si="135"/>
        <v>0</v>
      </c>
      <c r="BE109" s="25">
        <f t="shared" si="135"/>
        <v>54387</v>
      </c>
      <c r="BF109" s="25">
        <f t="shared" si="135"/>
        <v>30665828</v>
      </c>
      <c r="BG109" s="25">
        <f t="shared" si="135"/>
        <v>1940856</v>
      </c>
      <c r="BH109" s="25">
        <f t="shared" si="135"/>
        <v>0</v>
      </c>
      <c r="BI109" s="25">
        <f t="shared" si="135"/>
        <v>160000000</v>
      </c>
      <c r="BJ109" s="25">
        <f t="shared" si="135"/>
        <v>0</v>
      </c>
      <c r="BK109" s="25">
        <f t="shared" si="135"/>
        <v>0</v>
      </c>
      <c r="BL109" s="25">
        <f t="shared" si="135"/>
        <v>0</v>
      </c>
      <c r="BM109" s="25">
        <f t="shared" si="135"/>
        <v>0</v>
      </c>
      <c r="BN109" s="25">
        <f t="shared" si="135"/>
        <v>0</v>
      </c>
      <c r="BO109" s="25"/>
      <c r="BP109" s="25"/>
      <c r="BQ109" s="25">
        <f t="shared" ref="BQ109:BQ120" si="136">Y109-AV109</f>
        <v>0</v>
      </c>
      <c r="BR109" s="25">
        <f t="shared" ref="BR109:BR119" si="137">+Z109-AW109</f>
        <v>300905968</v>
      </c>
      <c r="BS109" s="27">
        <f t="shared" si="112"/>
        <v>0.45103902623193148</v>
      </c>
      <c r="BT109" s="25">
        <f t="shared" ref="BT109:BT127" si="138">SUM(BU109:CN109)</f>
        <v>1253696459</v>
      </c>
      <c r="BU109" s="25"/>
      <c r="BV109" s="25"/>
      <c r="BW109" s="25">
        <f>+'[1]AGOSTO 2016'!$H$16-AW109</f>
        <v>1252017243</v>
      </c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>
        <f>+'[1]AGOSTO 2016'!$H$29</f>
        <v>1679216</v>
      </c>
      <c r="CO109" s="27">
        <f t="shared" si="114"/>
        <v>0.54896097376806852</v>
      </c>
      <c r="CP109" s="25">
        <f t="shared" ref="CP109:CP127" si="139">SUM(CQ109:DI109)</f>
        <v>1525877782</v>
      </c>
      <c r="CQ109" s="25">
        <f t="shared" ref="CQ109:CV120" si="140">H109-BV109</f>
        <v>0</v>
      </c>
      <c r="CR109" s="25">
        <f t="shared" si="140"/>
        <v>1012007757</v>
      </c>
      <c r="CS109" s="25">
        <f t="shared" si="140"/>
        <v>20302986</v>
      </c>
      <c r="CT109" s="25">
        <f t="shared" si="140"/>
        <v>0</v>
      </c>
      <c r="CU109" s="25">
        <f t="shared" si="140"/>
        <v>0</v>
      </c>
      <c r="CV109" s="25">
        <f t="shared" si="140"/>
        <v>54387</v>
      </c>
      <c r="CW109" s="25">
        <f t="shared" ref="CW109:CY119" si="141">+N109-CB109</f>
        <v>30665828</v>
      </c>
      <c r="CX109" s="25">
        <f t="shared" si="141"/>
        <v>1940856</v>
      </c>
      <c r="CY109" s="25">
        <f t="shared" si="141"/>
        <v>0</v>
      </c>
      <c r="CZ109" s="25">
        <f t="shared" ref="CZ109:DB120" si="142">Q109-CE109</f>
        <v>160000000</v>
      </c>
      <c r="DA109" s="25">
        <f t="shared" si="142"/>
        <v>0</v>
      </c>
      <c r="DB109" s="25">
        <f t="shared" si="142"/>
        <v>0</v>
      </c>
      <c r="DC109" s="25">
        <f t="shared" ref="DC109:DE119" si="143">+T109-CH109</f>
        <v>0</v>
      </c>
      <c r="DD109" s="25">
        <f t="shared" si="143"/>
        <v>0</v>
      </c>
      <c r="DE109" s="25">
        <f t="shared" si="143"/>
        <v>0</v>
      </c>
      <c r="DF109" s="25"/>
      <c r="DG109" s="25">
        <f t="shared" ref="DG109:DI119" si="144">+X109-CL109</f>
        <v>0</v>
      </c>
      <c r="DH109" s="25">
        <f t="shared" si="144"/>
        <v>0</v>
      </c>
      <c r="DI109" s="25">
        <f t="shared" si="144"/>
        <v>300905968</v>
      </c>
    </row>
    <row r="110" spans="1:114" s="59" customFormat="1" ht="36" customHeight="1" x14ac:dyDescent="0.25">
      <c r="A110" s="193"/>
      <c r="B110" s="187"/>
      <c r="C110" s="57" t="s">
        <v>308</v>
      </c>
      <c r="D110" s="22" t="s">
        <v>309</v>
      </c>
      <c r="E110" s="91">
        <v>111</v>
      </c>
      <c r="F110" s="24" t="s">
        <v>310</v>
      </c>
      <c r="G110" s="25">
        <f t="shared" si="131"/>
        <v>1157377551</v>
      </c>
      <c r="H110" s="56"/>
      <c r="I110" s="56">
        <f>982978733+50000000</f>
        <v>1032978733</v>
      </c>
      <c r="J110" s="56">
        <v>39062301</v>
      </c>
      <c r="K110" s="56"/>
      <c r="L110" s="56"/>
      <c r="M110" s="56"/>
      <c r="N110" s="56"/>
      <c r="O110" s="56"/>
      <c r="P110" s="56">
        <f>3438802</f>
        <v>3438802</v>
      </c>
      <c r="Q110" s="56">
        <f>50000000</f>
        <v>50000000</v>
      </c>
      <c r="R110" s="56"/>
      <c r="S110" s="56"/>
      <c r="T110" s="56"/>
      <c r="U110" s="56"/>
      <c r="V110" s="56"/>
      <c r="W110" s="56"/>
      <c r="X110" s="56"/>
      <c r="Y110" s="56"/>
      <c r="Z110" s="56">
        <f>12000000+1000000+2897715+16000000</f>
        <v>31897715</v>
      </c>
      <c r="AA110" s="95"/>
      <c r="AB110" s="60">
        <f t="shared" si="104"/>
        <v>0.93630403930307438</v>
      </c>
      <c r="AC110" s="25">
        <f t="shared" si="132"/>
        <v>1083657276</v>
      </c>
      <c r="AD110" s="56"/>
      <c r="AE110" s="56"/>
      <c r="AF110" s="56">
        <f>+'[1]AGOSTO 2016'!$M$34</f>
        <v>982960403</v>
      </c>
      <c r="AG110" s="56">
        <f>+'[6]JULIO 2016'!$N$31</f>
        <v>37846647</v>
      </c>
      <c r="AH110" s="56"/>
      <c r="AI110" s="56"/>
      <c r="AJ110" s="56"/>
      <c r="AK110" s="56"/>
      <c r="AL110" s="56"/>
      <c r="AM110" s="56"/>
      <c r="AN110" s="25">
        <f>+'[8]MAYO 2016'!$U$31</f>
        <v>49856575</v>
      </c>
      <c r="AO110" s="56"/>
      <c r="AP110" s="56"/>
      <c r="AQ110" s="56"/>
      <c r="AR110" s="56"/>
      <c r="AS110" s="56"/>
      <c r="AT110" s="56"/>
      <c r="AU110" s="56"/>
      <c r="AV110" s="56"/>
      <c r="AW110" s="56">
        <f>+'[1]AGOSTO 2016'!$AG$34</f>
        <v>12993651</v>
      </c>
      <c r="AX110" s="60">
        <f t="shared" si="106"/>
        <v>6.3695960696925624E-2</v>
      </c>
      <c r="AY110" s="25">
        <f t="shared" si="133"/>
        <v>73720275</v>
      </c>
      <c r="AZ110" s="56">
        <f t="shared" si="134"/>
        <v>0</v>
      </c>
      <c r="BA110" s="56">
        <f t="shared" si="134"/>
        <v>50018330</v>
      </c>
      <c r="BB110" s="56">
        <f t="shared" si="134"/>
        <v>1215654</v>
      </c>
      <c r="BC110" s="56">
        <f t="shared" si="135"/>
        <v>0</v>
      </c>
      <c r="BD110" s="56">
        <f t="shared" si="135"/>
        <v>0</v>
      </c>
      <c r="BE110" s="25">
        <f t="shared" si="135"/>
        <v>0</v>
      </c>
      <c r="BF110" s="56">
        <f t="shared" si="135"/>
        <v>0</v>
      </c>
      <c r="BG110" s="56">
        <f t="shared" si="135"/>
        <v>0</v>
      </c>
      <c r="BH110" s="56">
        <f t="shared" si="135"/>
        <v>3438802</v>
      </c>
      <c r="BI110" s="56">
        <f t="shared" si="135"/>
        <v>143425</v>
      </c>
      <c r="BJ110" s="56">
        <f t="shared" si="135"/>
        <v>0</v>
      </c>
      <c r="BK110" s="56">
        <f t="shared" si="135"/>
        <v>0</v>
      </c>
      <c r="BL110" s="56">
        <f t="shared" si="135"/>
        <v>0</v>
      </c>
      <c r="BM110" s="56">
        <f t="shared" si="135"/>
        <v>0</v>
      </c>
      <c r="BN110" s="56">
        <f t="shared" si="135"/>
        <v>0</v>
      </c>
      <c r="BO110" s="56"/>
      <c r="BP110" s="56"/>
      <c r="BQ110" s="25">
        <f t="shared" si="136"/>
        <v>0</v>
      </c>
      <c r="BR110" s="56">
        <f t="shared" si="137"/>
        <v>18904064</v>
      </c>
      <c r="BS110" s="60">
        <f t="shared" si="112"/>
        <v>0.69640396887221112</v>
      </c>
      <c r="BT110" s="25">
        <f t="shared" si="138"/>
        <v>806002320</v>
      </c>
      <c r="BU110" s="56"/>
      <c r="BV110" s="56"/>
      <c r="BW110" s="56">
        <f>'[1]AGOSTO 2016'!$H$36+'[1]AGOSTO 2016'!$H$39+'[1]AGOSTO 2016'!$H$41+'[1]AGOSTO 2016'!$H$44+'[1]AGOSTO 2016'!$H$46+'[1]AGOSTO 2016'!$H$49+'[1]AGOSTO 2016'!$H$51+'[1]AGOSTO 2016'!$H$53+'[1]AGOSTO 2016'!$H$55+'[1]AGOSTO 2016'!$H$59+'[1]AGOSTO 2016'!$H$66+'[1]AGOSTO 2016'!$H$74</f>
        <v>712441894</v>
      </c>
      <c r="BX110" s="56">
        <f>+'[7]JUNIO 2016'!$H$56</f>
        <v>30710300</v>
      </c>
      <c r="BY110" s="56"/>
      <c r="BZ110" s="56"/>
      <c r="CA110" s="56"/>
      <c r="CB110" s="56"/>
      <c r="CC110" s="56"/>
      <c r="CD110" s="56"/>
      <c r="CE110" s="56">
        <f>+'[3]ABRIL 2016'!$H$34</f>
        <v>49856575</v>
      </c>
      <c r="CF110" s="56"/>
      <c r="CG110" s="56"/>
      <c r="CH110" s="56"/>
      <c r="CI110" s="56"/>
      <c r="CJ110" s="56"/>
      <c r="CK110" s="56"/>
      <c r="CL110" s="56"/>
      <c r="CM110" s="56"/>
      <c r="CN110" s="56">
        <f>+'[1]AGOSTO 2016'!$H$57+'[1]AGOSTO 2016'!$H$63+'[1]AGOSTO 2016'!$H$64+'[1]AGOSTO 2016'!$H$68+'[1]AGOSTO 2016'!$H$71+'[1]AGOSTO 2016'!$H$77+'[1]AGOSTO 2016'!$H$78</f>
        <v>12993551</v>
      </c>
      <c r="CO110" s="60">
        <f t="shared" si="114"/>
        <v>0.30359603112778888</v>
      </c>
      <c r="CP110" s="25">
        <f t="shared" si="139"/>
        <v>351375231</v>
      </c>
      <c r="CQ110" s="25">
        <f t="shared" si="140"/>
        <v>0</v>
      </c>
      <c r="CR110" s="56">
        <f t="shared" si="140"/>
        <v>320536839</v>
      </c>
      <c r="CS110" s="56">
        <f t="shared" si="140"/>
        <v>8352001</v>
      </c>
      <c r="CT110" s="56">
        <f t="shared" si="140"/>
        <v>0</v>
      </c>
      <c r="CU110" s="56">
        <f t="shared" si="140"/>
        <v>0</v>
      </c>
      <c r="CV110" s="25">
        <f t="shared" si="140"/>
        <v>0</v>
      </c>
      <c r="CW110" s="56">
        <f t="shared" si="141"/>
        <v>0</v>
      </c>
      <c r="CX110" s="56">
        <f t="shared" si="141"/>
        <v>0</v>
      </c>
      <c r="CY110" s="25">
        <f t="shared" si="141"/>
        <v>3438802</v>
      </c>
      <c r="CZ110" s="56">
        <f t="shared" si="142"/>
        <v>143425</v>
      </c>
      <c r="DA110" s="56">
        <f t="shared" si="142"/>
        <v>0</v>
      </c>
      <c r="DB110" s="56">
        <f t="shared" si="142"/>
        <v>0</v>
      </c>
      <c r="DC110" s="56">
        <f t="shared" si="143"/>
        <v>0</v>
      </c>
      <c r="DD110" s="56">
        <f t="shared" si="143"/>
        <v>0</v>
      </c>
      <c r="DE110" s="56">
        <f t="shared" si="143"/>
        <v>0</v>
      </c>
      <c r="DF110" s="56"/>
      <c r="DG110" s="56">
        <f t="shared" si="144"/>
        <v>0</v>
      </c>
      <c r="DH110" s="25">
        <f t="shared" si="144"/>
        <v>0</v>
      </c>
      <c r="DI110" s="56">
        <f t="shared" si="144"/>
        <v>18904164</v>
      </c>
    </row>
    <row r="111" spans="1:114" ht="41.25" customHeight="1" x14ac:dyDescent="0.25">
      <c r="A111" s="193"/>
      <c r="B111" s="188"/>
      <c r="C111" s="70" t="s">
        <v>311</v>
      </c>
      <c r="D111" s="22" t="s">
        <v>312</v>
      </c>
      <c r="E111" s="93">
        <v>111</v>
      </c>
      <c r="F111" s="24" t="s">
        <v>313</v>
      </c>
      <c r="G111" s="25">
        <f t="shared" si="131"/>
        <v>152147109</v>
      </c>
      <c r="H111" s="25"/>
      <c r="I111" s="25"/>
      <c r="J111" s="25">
        <f>59490931+52147109</f>
        <v>111638040</v>
      </c>
      <c r="K111" s="25"/>
      <c r="L111" s="25"/>
      <c r="M111" s="25"/>
      <c r="N111" s="25"/>
      <c r="O111" s="25"/>
      <c r="P111" s="25"/>
      <c r="Q111" s="56">
        <f>140509069-100000000</f>
        <v>40509069</v>
      </c>
      <c r="R111" s="25"/>
      <c r="S111" s="25"/>
      <c r="T111" s="25"/>
      <c r="U111" s="25"/>
      <c r="V111" s="25"/>
      <c r="W111" s="25"/>
      <c r="X111" s="25"/>
      <c r="Y111" s="25"/>
      <c r="Z111" s="25"/>
      <c r="AA111" s="94"/>
      <c r="AB111" s="27">
        <f t="shared" si="104"/>
        <v>0.29338736893120987</v>
      </c>
      <c r="AC111" s="25">
        <f t="shared" si="132"/>
        <v>44638040</v>
      </c>
      <c r="AD111" s="25"/>
      <c r="AE111" s="25"/>
      <c r="AF111" s="25"/>
      <c r="AG111" s="25">
        <f>+'[6]JULIO 2016'!$N$77</f>
        <v>14638040</v>
      </c>
      <c r="AH111" s="25"/>
      <c r="AI111" s="25"/>
      <c r="AJ111" s="25"/>
      <c r="AK111" s="25"/>
      <c r="AL111" s="25"/>
      <c r="AM111" s="25"/>
      <c r="AN111" s="25">
        <f>+'[3]ABRIL 2016'!$U$50</f>
        <v>30000000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7">
        <f t="shared" si="106"/>
        <v>0.70661263106879013</v>
      </c>
      <c r="AY111" s="25">
        <f t="shared" si="133"/>
        <v>107509069</v>
      </c>
      <c r="AZ111" s="25">
        <f t="shared" si="134"/>
        <v>0</v>
      </c>
      <c r="BA111" s="25">
        <f t="shared" si="134"/>
        <v>0</v>
      </c>
      <c r="BB111" s="25">
        <f t="shared" si="134"/>
        <v>97000000</v>
      </c>
      <c r="BC111" s="25">
        <f t="shared" si="135"/>
        <v>0</v>
      </c>
      <c r="BD111" s="25">
        <f t="shared" si="135"/>
        <v>0</v>
      </c>
      <c r="BE111" s="25">
        <f t="shared" si="135"/>
        <v>0</v>
      </c>
      <c r="BF111" s="25">
        <f t="shared" si="135"/>
        <v>0</v>
      </c>
      <c r="BG111" s="25">
        <f t="shared" si="135"/>
        <v>0</v>
      </c>
      <c r="BH111" s="25">
        <f t="shared" si="135"/>
        <v>0</v>
      </c>
      <c r="BI111" s="25">
        <f t="shared" si="135"/>
        <v>10509069</v>
      </c>
      <c r="BJ111" s="25">
        <f t="shared" si="135"/>
        <v>0</v>
      </c>
      <c r="BK111" s="25">
        <f t="shared" si="135"/>
        <v>0</v>
      </c>
      <c r="BL111" s="25">
        <f t="shared" si="135"/>
        <v>0</v>
      </c>
      <c r="BM111" s="25">
        <f t="shared" si="135"/>
        <v>0</v>
      </c>
      <c r="BN111" s="25">
        <f t="shared" si="135"/>
        <v>0</v>
      </c>
      <c r="BO111" s="25"/>
      <c r="BP111" s="25"/>
      <c r="BQ111" s="25">
        <f t="shared" si="136"/>
        <v>0</v>
      </c>
      <c r="BR111" s="25">
        <f t="shared" si="137"/>
        <v>0</v>
      </c>
      <c r="BS111" s="27">
        <f t="shared" si="112"/>
        <v>0.29338736893120987</v>
      </c>
      <c r="BT111" s="25">
        <f t="shared" si="138"/>
        <v>44638040</v>
      </c>
      <c r="BU111" s="25"/>
      <c r="BV111" s="25"/>
      <c r="BW111" s="25"/>
      <c r="BX111" s="25">
        <f>+'[7]JUNIO 2016'!$H$67+'[7]JUNIO 2016'!$H$70</f>
        <v>14638040</v>
      </c>
      <c r="BY111" s="25"/>
      <c r="BZ111" s="25"/>
      <c r="CA111" s="25"/>
      <c r="CB111" s="25"/>
      <c r="CC111" s="25"/>
      <c r="CD111" s="25"/>
      <c r="CE111" s="25">
        <f>+'[8]MAYO 2016'!$H$62</f>
        <v>30000000</v>
      </c>
      <c r="CF111" s="25"/>
      <c r="CG111" s="25"/>
      <c r="CH111" s="25"/>
      <c r="CI111" s="25"/>
      <c r="CJ111" s="25"/>
      <c r="CK111" s="25"/>
      <c r="CL111" s="25"/>
      <c r="CM111" s="25"/>
      <c r="CN111" s="25"/>
      <c r="CO111" s="27">
        <f t="shared" si="114"/>
        <v>0.70661263106879013</v>
      </c>
      <c r="CP111" s="25">
        <f t="shared" si="139"/>
        <v>107509069</v>
      </c>
      <c r="CQ111" s="25">
        <f t="shared" si="140"/>
        <v>0</v>
      </c>
      <c r="CR111" s="25">
        <f t="shared" si="140"/>
        <v>0</v>
      </c>
      <c r="CS111" s="25">
        <f t="shared" si="140"/>
        <v>97000000</v>
      </c>
      <c r="CT111" s="25">
        <f t="shared" si="140"/>
        <v>0</v>
      </c>
      <c r="CU111" s="25">
        <f t="shared" si="140"/>
        <v>0</v>
      </c>
      <c r="CV111" s="25">
        <f t="shared" si="140"/>
        <v>0</v>
      </c>
      <c r="CW111" s="25">
        <f t="shared" si="141"/>
        <v>0</v>
      </c>
      <c r="CX111" s="25">
        <f t="shared" si="141"/>
        <v>0</v>
      </c>
      <c r="CY111" s="25">
        <f t="shared" si="141"/>
        <v>0</v>
      </c>
      <c r="CZ111" s="25">
        <f t="shared" si="142"/>
        <v>10509069</v>
      </c>
      <c r="DA111" s="25">
        <f t="shared" si="142"/>
        <v>0</v>
      </c>
      <c r="DB111" s="25">
        <f t="shared" si="142"/>
        <v>0</v>
      </c>
      <c r="DC111" s="25">
        <f t="shared" si="143"/>
        <v>0</v>
      </c>
      <c r="DD111" s="25">
        <f t="shared" si="143"/>
        <v>0</v>
      </c>
      <c r="DE111" s="25">
        <f t="shared" si="143"/>
        <v>0</v>
      </c>
      <c r="DF111" s="25"/>
      <c r="DG111" s="25">
        <f t="shared" si="144"/>
        <v>0</v>
      </c>
      <c r="DH111" s="25">
        <f t="shared" si="144"/>
        <v>0</v>
      </c>
      <c r="DI111" s="25">
        <f t="shared" si="144"/>
        <v>0</v>
      </c>
      <c r="DJ111" s="47"/>
    </row>
    <row r="112" spans="1:114" ht="47.25" customHeight="1" x14ac:dyDescent="0.25">
      <c r="A112" s="193"/>
      <c r="B112" s="186" t="s">
        <v>314</v>
      </c>
      <c r="C112" s="70" t="s">
        <v>315</v>
      </c>
      <c r="D112" s="22" t="s">
        <v>316</v>
      </c>
      <c r="E112" s="93">
        <v>211</v>
      </c>
      <c r="F112" s="24" t="s">
        <v>317</v>
      </c>
      <c r="G112" s="25">
        <f t="shared" si="131"/>
        <v>1879879497</v>
      </c>
      <c r="H112" s="25"/>
      <c r="I112" s="25">
        <f>2300000000-500000000</f>
        <v>1800000000</v>
      </c>
      <c r="J112" s="25"/>
      <c r="K112" s="25"/>
      <c r="L112" s="25"/>
      <c r="M112" s="25"/>
      <c r="N112" s="25"/>
      <c r="O112" s="25"/>
      <c r="P112" s="25"/>
      <c r="Q112" s="25">
        <f>70000000</f>
        <v>70000000</v>
      </c>
      <c r="R112" s="25"/>
      <c r="S112" s="25"/>
      <c r="T112" s="25"/>
      <c r="U112" s="25"/>
      <c r="V112" s="25"/>
      <c r="W112" s="25"/>
      <c r="X112" s="25"/>
      <c r="Y112" s="25"/>
      <c r="Z112" s="25">
        <f>9879497</f>
        <v>9879497</v>
      </c>
      <c r="AB112" s="27">
        <f t="shared" si="104"/>
        <v>0.69458700788202699</v>
      </c>
      <c r="AC112" s="25">
        <f t="shared" si="132"/>
        <v>1305739875</v>
      </c>
      <c r="AD112" s="25"/>
      <c r="AE112" s="25"/>
      <c r="AF112" s="25">
        <f>+'[1]AGOSTO 2016'!$M$99</f>
        <v>1225873755</v>
      </c>
      <c r="AG112" s="25"/>
      <c r="AH112" s="25"/>
      <c r="AI112" s="25"/>
      <c r="AJ112" s="25"/>
      <c r="AK112" s="25"/>
      <c r="AL112" s="25"/>
      <c r="AM112" s="25"/>
      <c r="AN112" s="25">
        <f>+'[8]MAYO 2016'!$U$75</f>
        <v>70000000</v>
      </c>
      <c r="AO112" s="25"/>
      <c r="AP112" s="25"/>
      <c r="AQ112" s="25"/>
      <c r="AR112" s="25"/>
      <c r="AS112" s="25"/>
      <c r="AT112" s="25"/>
      <c r="AU112" s="25"/>
      <c r="AV112" s="25"/>
      <c r="AW112" s="25">
        <f>+'[8]MAYO 2016'!$AG$75</f>
        <v>9866120</v>
      </c>
      <c r="AX112" s="27">
        <f t="shared" si="106"/>
        <v>0.30541299211797301</v>
      </c>
      <c r="AY112" s="25">
        <f t="shared" si="133"/>
        <v>574139622</v>
      </c>
      <c r="AZ112" s="25">
        <f t="shared" si="134"/>
        <v>0</v>
      </c>
      <c r="BA112" s="25">
        <f t="shared" si="134"/>
        <v>574126245</v>
      </c>
      <c r="BB112" s="25">
        <f t="shared" si="134"/>
        <v>0</v>
      </c>
      <c r="BC112" s="25">
        <f t="shared" si="135"/>
        <v>0</v>
      </c>
      <c r="BD112" s="25">
        <f t="shared" si="135"/>
        <v>0</v>
      </c>
      <c r="BE112" s="25">
        <f t="shared" si="135"/>
        <v>0</v>
      </c>
      <c r="BF112" s="25">
        <f t="shared" si="135"/>
        <v>0</v>
      </c>
      <c r="BG112" s="25">
        <f t="shared" si="135"/>
        <v>0</v>
      </c>
      <c r="BH112" s="25">
        <f t="shared" si="135"/>
        <v>0</v>
      </c>
      <c r="BI112" s="25">
        <f t="shared" si="135"/>
        <v>0</v>
      </c>
      <c r="BJ112" s="25">
        <f t="shared" si="135"/>
        <v>0</v>
      </c>
      <c r="BK112" s="25">
        <f t="shared" si="135"/>
        <v>0</v>
      </c>
      <c r="BL112" s="25">
        <f t="shared" si="135"/>
        <v>0</v>
      </c>
      <c r="BM112" s="25">
        <f t="shared" si="135"/>
        <v>0</v>
      </c>
      <c r="BN112" s="25">
        <f t="shared" si="135"/>
        <v>0</v>
      </c>
      <c r="BO112" s="25"/>
      <c r="BP112" s="25"/>
      <c r="BQ112" s="25">
        <f t="shared" si="136"/>
        <v>0</v>
      </c>
      <c r="BR112" s="25">
        <f t="shared" si="137"/>
        <v>13377</v>
      </c>
      <c r="BS112" s="27">
        <f t="shared" si="112"/>
        <v>0.43811474741564244</v>
      </c>
      <c r="BT112" s="25">
        <f t="shared" si="138"/>
        <v>823602931</v>
      </c>
      <c r="BU112" s="25"/>
      <c r="BV112" s="25"/>
      <c r="BW112" s="25">
        <f>+'[1]AGOSTO 2016'!$H$100+'[1]AGOSTO 2016'!$H$103+'[1]AGOSTO 2016'!$H$107+'[1]AGOSTO 2016'!$H$109+'[1]AGOSTO 2016'!$H$111+'[1]AGOSTO 2016'!$H$113+'[1]AGOSTO 2016'!$H$114+'[1]AGOSTO 2016'!$H$120+'[1]AGOSTO 2016'!$H$124+'[1]AGOSTO 2016'!$H$126+'[1]AGOSTO 2016'!$H$128+'[1]AGOSTO 2016'!$H$130+'[1]AGOSTO 2016'!$H$132+'[1]AGOSTO 2016'!$H$135+'[1]AGOSTO 2016'!$H$139+'[1]AGOSTO 2016'!$H$141</f>
        <v>813736811</v>
      </c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>
        <f>+'[8]MAYO 2016'!$H$91</f>
        <v>9866120</v>
      </c>
      <c r="CO112" s="27">
        <f t="shared" si="114"/>
        <v>0.56188525258435762</v>
      </c>
      <c r="CP112" s="25">
        <f t="shared" si="139"/>
        <v>1056276566</v>
      </c>
      <c r="CQ112" s="25">
        <f t="shared" si="140"/>
        <v>0</v>
      </c>
      <c r="CR112" s="25">
        <f t="shared" si="140"/>
        <v>986263189</v>
      </c>
      <c r="CS112" s="25">
        <f t="shared" si="140"/>
        <v>0</v>
      </c>
      <c r="CT112" s="25">
        <f t="shared" si="140"/>
        <v>0</v>
      </c>
      <c r="CU112" s="25">
        <f t="shared" si="140"/>
        <v>0</v>
      </c>
      <c r="CV112" s="25">
        <f t="shared" si="140"/>
        <v>0</v>
      </c>
      <c r="CW112" s="25">
        <f t="shared" si="141"/>
        <v>0</v>
      </c>
      <c r="CX112" s="25">
        <f t="shared" si="141"/>
        <v>0</v>
      </c>
      <c r="CY112" s="25">
        <f t="shared" si="141"/>
        <v>0</v>
      </c>
      <c r="CZ112" s="25">
        <f t="shared" si="142"/>
        <v>70000000</v>
      </c>
      <c r="DA112" s="25">
        <f t="shared" si="142"/>
        <v>0</v>
      </c>
      <c r="DB112" s="25">
        <f t="shared" si="142"/>
        <v>0</v>
      </c>
      <c r="DC112" s="25">
        <f t="shared" si="143"/>
        <v>0</v>
      </c>
      <c r="DD112" s="25">
        <f t="shared" si="143"/>
        <v>0</v>
      </c>
      <c r="DE112" s="25">
        <f t="shared" si="143"/>
        <v>0</v>
      </c>
      <c r="DF112" s="25"/>
      <c r="DG112" s="25">
        <f t="shared" si="144"/>
        <v>0</v>
      </c>
      <c r="DH112" s="25">
        <f t="shared" si="144"/>
        <v>0</v>
      </c>
      <c r="DI112" s="25">
        <f t="shared" si="144"/>
        <v>13377</v>
      </c>
    </row>
    <row r="113" spans="1:113" ht="50.25" customHeight="1" x14ac:dyDescent="0.25">
      <c r="A113" s="193"/>
      <c r="B113" s="187"/>
      <c r="C113" s="70" t="s">
        <v>318</v>
      </c>
      <c r="D113" s="96" t="s">
        <v>319</v>
      </c>
      <c r="E113" s="93">
        <v>211</v>
      </c>
      <c r="F113" s="24" t="s">
        <v>313</v>
      </c>
      <c r="G113" s="25">
        <f t="shared" si="131"/>
        <v>360432388</v>
      </c>
      <c r="H113" s="25"/>
      <c r="I113" s="25">
        <f>170000000+50000000</f>
        <v>220000000</v>
      </c>
      <c r="J113" s="25"/>
      <c r="K113" s="25"/>
      <c r="L113" s="25"/>
      <c r="M113" s="25"/>
      <c r="N113" s="25"/>
      <c r="O113" s="25"/>
      <c r="P113" s="25"/>
      <c r="Q113" s="25">
        <v>10432388</v>
      </c>
      <c r="R113" s="25"/>
      <c r="S113" s="25">
        <v>130000000</v>
      </c>
      <c r="T113" s="25"/>
      <c r="U113" s="25"/>
      <c r="V113" s="25"/>
      <c r="W113" s="25"/>
      <c r="X113" s="25"/>
      <c r="Y113" s="25"/>
      <c r="Z113" s="25"/>
      <c r="AB113" s="27">
        <f t="shared" si="104"/>
        <v>0.4599457610341055</v>
      </c>
      <c r="AC113" s="25">
        <f t="shared" si="132"/>
        <v>165779349</v>
      </c>
      <c r="AD113" s="25"/>
      <c r="AE113" s="25"/>
      <c r="AF113" s="25">
        <f>+'[1]AGOSTO 2016'!$M$148</f>
        <v>165779349</v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7">
        <f t="shared" si="106"/>
        <v>0.54005423896589444</v>
      </c>
      <c r="AY113" s="25">
        <f t="shared" si="133"/>
        <v>194653039</v>
      </c>
      <c r="AZ113" s="25">
        <f t="shared" si="134"/>
        <v>0</v>
      </c>
      <c r="BA113" s="25">
        <f t="shared" si="134"/>
        <v>54220651</v>
      </c>
      <c r="BB113" s="25">
        <f t="shared" si="134"/>
        <v>0</v>
      </c>
      <c r="BC113" s="25">
        <f t="shared" si="135"/>
        <v>0</v>
      </c>
      <c r="BD113" s="25">
        <f t="shared" si="135"/>
        <v>0</v>
      </c>
      <c r="BE113" s="25">
        <f t="shared" si="135"/>
        <v>0</v>
      </c>
      <c r="BF113" s="25">
        <f t="shared" si="135"/>
        <v>0</v>
      </c>
      <c r="BG113" s="25">
        <f t="shared" si="135"/>
        <v>0</v>
      </c>
      <c r="BH113" s="25">
        <f t="shared" si="135"/>
        <v>0</v>
      </c>
      <c r="BI113" s="25">
        <f t="shared" si="135"/>
        <v>10432388</v>
      </c>
      <c r="BJ113" s="25">
        <f t="shared" si="135"/>
        <v>0</v>
      </c>
      <c r="BK113" s="25">
        <f t="shared" si="135"/>
        <v>130000000</v>
      </c>
      <c r="BL113" s="25">
        <f t="shared" si="135"/>
        <v>0</v>
      </c>
      <c r="BM113" s="25">
        <f t="shared" si="135"/>
        <v>0</v>
      </c>
      <c r="BN113" s="25">
        <f t="shared" si="135"/>
        <v>0</v>
      </c>
      <c r="BO113" s="25"/>
      <c r="BP113" s="25"/>
      <c r="BQ113" s="25">
        <f t="shared" si="136"/>
        <v>0</v>
      </c>
      <c r="BR113" s="25">
        <f t="shared" si="137"/>
        <v>0</v>
      </c>
      <c r="BS113" s="27">
        <f t="shared" si="112"/>
        <v>0.42367766350675456</v>
      </c>
      <c r="BT113" s="25">
        <f t="shared" si="138"/>
        <v>152707152</v>
      </c>
      <c r="BU113" s="25"/>
      <c r="BV113" s="25"/>
      <c r="BW113" s="25">
        <f>+'[1]AGOSTO 2016'!$H$146</f>
        <v>152707152</v>
      </c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7">
        <f t="shared" si="114"/>
        <v>0.57632233649324549</v>
      </c>
      <c r="CP113" s="25">
        <f t="shared" si="139"/>
        <v>207725236</v>
      </c>
      <c r="CQ113" s="25">
        <f t="shared" si="140"/>
        <v>0</v>
      </c>
      <c r="CR113" s="25">
        <f t="shared" si="140"/>
        <v>67292848</v>
      </c>
      <c r="CS113" s="25">
        <f t="shared" si="140"/>
        <v>0</v>
      </c>
      <c r="CT113" s="25">
        <f t="shared" si="140"/>
        <v>0</v>
      </c>
      <c r="CU113" s="25">
        <f t="shared" si="140"/>
        <v>0</v>
      </c>
      <c r="CV113" s="25">
        <f t="shared" si="140"/>
        <v>0</v>
      </c>
      <c r="CW113" s="25">
        <f t="shared" si="141"/>
        <v>0</v>
      </c>
      <c r="CX113" s="25">
        <f t="shared" si="141"/>
        <v>0</v>
      </c>
      <c r="CY113" s="25">
        <f t="shared" si="141"/>
        <v>0</v>
      </c>
      <c r="CZ113" s="25">
        <f t="shared" si="142"/>
        <v>10432388</v>
      </c>
      <c r="DA113" s="25">
        <f t="shared" si="142"/>
        <v>0</v>
      </c>
      <c r="DB113" s="25">
        <f t="shared" si="142"/>
        <v>130000000</v>
      </c>
      <c r="DC113" s="25">
        <f t="shared" si="143"/>
        <v>0</v>
      </c>
      <c r="DD113" s="25">
        <f t="shared" si="143"/>
        <v>0</v>
      </c>
      <c r="DE113" s="25">
        <f t="shared" si="143"/>
        <v>0</v>
      </c>
      <c r="DF113" s="25"/>
      <c r="DG113" s="25">
        <f t="shared" si="144"/>
        <v>0</v>
      </c>
      <c r="DH113" s="25">
        <f t="shared" si="144"/>
        <v>0</v>
      </c>
      <c r="DI113" s="25">
        <f t="shared" si="144"/>
        <v>0</v>
      </c>
    </row>
    <row r="114" spans="1:113" s="59" customFormat="1" ht="33" customHeight="1" x14ac:dyDescent="0.25">
      <c r="A114" s="193"/>
      <c r="B114" s="187"/>
      <c r="C114" s="57" t="s">
        <v>320</v>
      </c>
      <c r="D114" s="22" t="s">
        <v>321</v>
      </c>
      <c r="E114" s="91">
        <v>211</v>
      </c>
      <c r="F114" s="24" t="s">
        <v>322</v>
      </c>
      <c r="G114" s="25">
        <f t="shared" si="131"/>
        <v>459535209</v>
      </c>
      <c r="H114" s="30"/>
      <c r="I114" s="56">
        <v>453535209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>
        <v>6000000</v>
      </c>
      <c r="AB114" s="60">
        <f t="shared" si="104"/>
        <v>0.64750708361935327</v>
      </c>
      <c r="AC114" s="25">
        <f t="shared" si="132"/>
        <v>297552303</v>
      </c>
      <c r="AD114" s="56"/>
      <c r="AE114" s="56"/>
      <c r="AF114" s="56">
        <f>+'[1]AGOSTO 2016'!$M$175</f>
        <v>297552303</v>
      </c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60">
        <f t="shared" si="106"/>
        <v>0.35249291638064673</v>
      </c>
      <c r="AY114" s="25">
        <f t="shared" si="133"/>
        <v>161982906</v>
      </c>
      <c r="AZ114" s="56">
        <f t="shared" si="134"/>
        <v>0</v>
      </c>
      <c r="BA114" s="56">
        <f t="shared" si="134"/>
        <v>155982906</v>
      </c>
      <c r="BB114" s="56">
        <f t="shared" si="134"/>
        <v>0</v>
      </c>
      <c r="BC114" s="56">
        <f t="shared" si="135"/>
        <v>0</v>
      </c>
      <c r="BD114" s="56">
        <f t="shared" si="135"/>
        <v>0</v>
      </c>
      <c r="BE114" s="25">
        <f t="shared" si="135"/>
        <v>0</v>
      </c>
      <c r="BF114" s="56">
        <f t="shared" si="135"/>
        <v>0</v>
      </c>
      <c r="BG114" s="56">
        <f t="shared" si="135"/>
        <v>0</v>
      </c>
      <c r="BH114" s="56">
        <f t="shared" si="135"/>
        <v>0</v>
      </c>
      <c r="BI114" s="56">
        <f t="shared" si="135"/>
        <v>0</v>
      </c>
      <c r="BJ114" s="56">
        <f t="shared" si="135"/>
        <v>0</v>
      </c>
      <c r="BK114" s="56">
        <f t="shared" si="135"/>
        <v>0</v>
      </c>
      <c r="BL114" s="56">
        <f t="shared" si="135"/>
        <v>0</v>
      </c>
      <c r="BM114" s="56">
        <f t="shared" si="135"/>
        <v>0</v>
      </c>
      <c r="BN114" s="56">
        <f t="shared" si="135"/>
        <v>0</v>
      </c>
      <c r="BO114" s="56"/>
      <c r="BP114" s="56"/>
      <c r="BQ114" s="25">
        <f t="shared" si="136"/>
        <v>0</v>
      </c>
      <c r="BR114" s="56">
        <f t="shared" si="137"/>
        <v>6000000</v>
      </c>
      <c r="BS114" s="60">
        <f t="shared" si="112"/>
        <v>0.21797241655970695</v>
      </c>
      <c r="BT114" s="25">
        <f t="shared" si="138"/>
        <v>100166000</v>
      </c>
      <c r="BU114" s="56"/>
      <c r="BV114" s="56"/>
      <c r="BW114" s="56">
        <f>+'[3]ABRIL 2016'!$H$97</f>
        <v>100166000</v>
      </c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60">
        <f t="shared" si="114"/>
        <v>0.78202758344029299</v>
      </c>
      <c r="CP114" s="25">
        <f t="shared" si="139"/>
        <v>359369209</v>
      </c>
      <c r="CQ114" s="25">
        <f t="shared" si="140"/>
        <v>0</v>
      </c>
      <c r="CR114" s="56">
        <f t="shared" si="140"/>
        <v>353369209</v>
      </c>
      <c r="CS114" s="56">
        <f t="shared" si="140"/>
        <v>0</v>
      </c>
      <c r="CT114" s="56">
        <f t="shared" si="140"/>
        <v>0</v>
      </c>
      <c r="CU114" s="56">
        <f t="shared" si="140"/>
        <v>0</v>
      </c>
      <c r="CV114" s="25">
        <f t="shared" si="140"/>
        <v>0</v>
      </c>
      <c r="CW114" s="56">
        <f t="shared" si="141"/>
        <v>0</v>
      </c>
      <c r="CX114" s="56">
        <f t="shared" si="141"/>
        <v>0</v>
      </c>
      <c r="CY114" s="25">
        <f t="shared" si="141"/>
        <v>0</v>
      </c>
      <c r="CZ114" s="56">
        <f t="shared" si="142"/>
        <v>0</v>
      </c>
      <c r="DA114" s="56">
        <f t="shared" si="142"/>
        <v>0</v>
      </c>
      <c r="DB114" s="56">
        <f t="shared" si="142"/>
        <v>0</v>
      </c>
      <c r="DC114" s="56">
        <f t="shared" si="143"/>
        <v>0</v>
      </c>
      <c r="DD114" s="56">
        <f t="shared" si="143"/>
        <v>0</v>
      </c>
      <c r="DE114" s="56">
        <f t="shared" si="143"/>
        <v>0</v>
      </c>
      <c r="DF114" s="56"/>
      <c r="DG114" s="56">
        <f t="shared" si="144"/>
        <v>0</v>
      </c>
      <c r="DH114" s="56">
        <f t="shared" si="144"/>
        <v>0</v>
      </c>
      <c r="DI114" s="56">
        <f t="shared" si="144"/>
        <v>6000000</v>
      </c>
    </row>
    <row r="115" spans="1:113" ht="95.25" customHeight="1" x14ac:dyDescent="0.25">
      <c r="A115" s="193"/>
      <c r="B115" s="187"/>
      <c r="C115" s="70" t="s">
        <v>323</v>
      </c>
      <c r="D115" s="22" t="s">
        <v>324</v>
      </c>
      <c r="E115" s="93">
        <v>211</v>
      </c>
      <c r="F115" s="24" t="s">
        <v>325</v>
      </c>
      <c r="G115" s="25">
        <f t="shared" si="131"/>
        <v>411607498</v>
      </c>
      <c r="H115" s="36"/>
      <c r="I115" s="25">
        <v>300000000</v>
      </c>
      <c r="J115" s="25"/>
      <c r="K115" s="25"/>
      <c r="L115" s="25"/>
      <c r="M115" s="25"/>
      <c r="N115" s="25"/>
      <c r="O115" s="25"/>
      <c r="P115" s="25"/>
      <c r="Q115" s="25">
        <v>15000000</v>
      </c>
      <c r="R115" s="25"/>
      <c r="S115" s="25"/>
      <c r="T115" s="25"/>
      <c r="U115" s="25"/>
      <c r="V115" s="25"/>
      <c r="W115" s="25"/>
      <c r="X115" s="25"/>
      <c r="Y115" s="25"/>
      <c r="Z115" s="25">
        <f>105607498+8000000+9000000-4000000+8000000-30000000</f>
        <v>96607498</v>
      </c>
      <c r="AB115" s="27">
        <f t="shared" si="104"/>
        <v>0.93847946132409865</v>
      </c>
      <c r="AC115" s="25">
        <f t="shared" si="132"/>
        <v>386285183</v>
      </c>
      <c r="AD115" s="25"/>
      <c r="AE115" s="25"/>
      <c r="AF115" s="25">
        <f>+'[1]AGOSTO 2016'!$M$184</f>
        <v>299974318</v>
      </c>
      <c r="AG115" s="25"/>
      <c r="AH115" s="25"/>
      <c r="AI115" s="25"/>
      <c r="AJ115" s="25"/>
      <c r="AK115" s="25"/>
      <c r="AL115" s="25"/>
      <c r="AM115" s="25"/>
      <c r="AN115" s="25">
        <v>15000000</v>
      </c>
      <c r="AO115" s="25"/>
      <c r="AP115" s="25"/>
      <c r="AQ115" s="25"/>
      <c r="AR115" s="25"/>
      <c r="AS115" s="25"/>
      <c r="AT115" s="25"/>
      <c r="AU115" s="25"/>
      <c r="AV115" s="25"/>
      <c r="AW115" s="25">
        <f>+'[1]AGOSTO 2016'!$AG$184</f>
        <v>71310865</v>
      </c>
      <c r="AX115" s="27">
        <f t="shared" si="106"/>
        <v>6.1520538675901348E-2</v>
      </c>
      <c r="AY115" s="25">
        <f t="shared" si="133"/>
        <v>25322315</v>
      </c>
      <c r="AZ115" s="25">
        <f t="shared" si="134"/>
        <v>0</v>
      </c>
      <c r="BA115" s="25">
        <f t="shared" si="134"/>
        <v>25682</v>
      </c>
      <c r="BB115" s="25">
        <f t="shared" si="134"/>
        <v>0</v>
      </c>
      <c r="BC115" s="25">
        <f t="shared" si="135"/>
        <v>0</v>
      </c>
      <c r="BD115" s="25">
        <f t="shared" si="135"/>
        <v>0</v>
      </c>
      <c r="BE115" s="25">
        <f t="shared" si="135"/>
        <v>0</v>
      </c>
      <c r="BF115" s="25">
        <f t="shared" si="135"/>
        <v>0</v>
      </c>
      <c r="BG115" s="25">
        <f t="shared" si="135"/>
        <v>0</v>
      </c>
      <c r="BH115" s="25">
        <f t="shared" si="135"/>
        <v>0</v>
      </c>
      <c r="BI115" s="25">
        <f t="shared" si="135"/>
        <v>0</v>
      </c>
      <c r="BJ115" s="25">
        <f t="shared" si="135"/>
        <v>0</v>
      </c>
      <c r="BK115" s="25">
        <f t="shared" si="135"/>
        <v>0</v>
      </c>
      <c r="BL115" s="25">
        <f t="shared" si="135"/>
        <v>0</v>
      </c>
      <c r="BM115" s="25">
        <f t="shared" si="135"/>
        <v>0</v>
      </c>
      <c r="BN115" s="25">
        <f t="shared" si="135"/>
        <v>0</v>
      </c>
      <c r="BO115" s="25"/>
      <c r="BP115" s="25"/>
      <c r="BQ115" s="25">
        <f t="shared" si="136"/>
        <v>0</v>
      </c>
      <c r="BR115" s="25">
        <f t="shared" si="137"/>
        <v>25296633</v>
      </c>
      <c r="BS115" s="27">
        <f t="shared" si="112"/>
        <v>0.34527837731469119</v>
      </c>
      <c r="BT115" s="25">
        <f t="shared" si="138"/>
        <v>142119169</v>
      </c>
      <c r="BU115" s="25"/>
      <c r="BV115" s="25"/>
      <c r="BW115" s="25">
        <f>+'[1]AGOSTO 2016'!$H$187+'[1]AGOSTO 2016'!$H$189+'[1]AGOSTO 2016'!$H$195+'[1]AGOSTO 2016'!$H$197</f>
        <v>62075154</v>
      </c>
      <c r="BX115" s="25"/>
      <c r="BY115" s="25"/>
      <c r="BZ115" s="25"/>
      <c r="CA115" s="25"/>
      <c r="CB115" s="25"/>
      <c r="CC115" s="25"/>
      <c r="CD115" s="25"/>
      <c r="CE115" s="25">
        <f>+'[2]MARZO 2016 ULTIMO'!$H$88</f>
        <v>15000000</v>
      </c>
      <c r="CF115" s="25"/>
      <c r="CG115" s="25"/>
      <c r="CH115" s="25"/>
      <c r="CI115" s="25"/>
      <c r="CJ115" s="25"/>
      <c r="CK115" s="25"/>
      <c r="CL115" s="25"/>
      <c r="CM115" s="25"/>
      <c r="CN115" s="25">
        <f>+'[1]AGOSTO 2016'!$H$182-CE115-BW115</f>
        <v>65044015</v>
      </c>
      <c r="CO115" s="27">
        <f t="shared" si="114"/>
        <v>0.65472162268530876</v>
      </c>
      <c r="CP115" s="25">
        <f t="shared" si="139"/>
        <v>269488329</v>
      </c>
      <c r="CQ115" s="25">
        <f t="shared" si="140"/>
        <v>0</v>
      </c>
      <c r="CR115" s="25">
        <f t="shared" si="140"/>
        <v>237924846</v>
      </c>
      <c r="CS115" s="25">
        <f t="shared" si="140"/>
        <v>0</v>
      </c>
      <c r="CT115" s="25">
        <f t="shared" si="140"/>
        <v>0</v>
      </c>
      <c r="CU115" s="25">
        <f t="shared" si="140"/>
        <v>0</v>
      </c>
      <c r="CV115" s="25">
        <f t="shared" si="140"/>
        <v>0</v>
      </c>
      <c r="CW115" s="25">
        <f t="shared" si="141"/>
        <v>0</v>
      </c>
      <c r="CX115" s="25">
        <f t="shared" si="141"/>
        <v>0</v>
      </c>
      <c r="CY115" s="25">
        <f t="shared" si="141"/>
        <v>0</v>
      </c>
      <c r="CZ115" s="25">
        <f t="shared" si="142"/>
        <v>0</v>
      </c>
      <c r="DA115" s="25">
        <f t="shared" si="142"/>
        <v>0</v>
      </c>
      <c r="DB115" s="25">
        <f t="shared" si="142"/>
        <v>0</v>
      </c>
      <c r="DC115" s="25">
        <f t="shared" si="143"/>
        <v>0</v>
      </c>
      <c r="DD115" s="25">
        <f t="shared" si="143"/>
        <v>0</v>
      </c>
      <c r="DE115" s="25">
        <f t="shared" si="143"/>
        <v>0</v>
      </c>
      <c r="DF115" s="25"/>
      <c r="DG115" s="25">
        <f t="shared" si="144"/>
        <v>0</v>
      </c>
      <c r="DH115" s="25">
        <f t="shared" si="144"/>
        <v>0</v>
      </c>
      <c r="DI115" s="25">
        <f t="shared" si="144"/>
        <v>31563483</v>
      </c>
    </row>
    <row r="116" spans="1:113" ht="91.5" customHeight="1" x14ac:dyDescent="0.25">
      <c r="A116" s="193"/>
      <c r="B116" s="187"/>
      <c r="C116" s="70" t="s">
        <v>326</v>
      </c>
      <c r="D116" s="22" t="s">
        <v>327</v>
      </c>
      <c r="E116" s="93">
        <v>211</v>
      </c>
      <c r="F116" s="24" t="s">
        <v>325</v>
      </c>
      <c r="G116" s="25">
        <f t="shared" si="131"/>
        <v>121093350</v>
      </c>
      <c r="H116" s="36"/>
      <c r="I116" s="25">
        <v>50000000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f>47318981+5271083+155508+1089440+2317590+1325109+1257366+1440267+10918006</f>
        <v>71093350</v>
      </c>
      <c r="AB116" s="27">
        <f t="shared" si="104"/>
        <v>9.8786333023241982E-2</v>
      </c>
      <c r="AC116" s="25">
        <f t="shared" si="132"/>
        <v>11962368</v>
      </c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>
        <f>+'[6]JULIO 2016'!$G$179</f>
        <v>11962368</v>
      </c>
      <c r="AX116" s="27">
        <f t="shared" si="106"/>
        <v>0.90121366697675798</v>
      </c>
      <c r="AY116" s="25">
        <f t="shared" si="133"/>
        <v>109130982</v>
      </c>
      <c r="AZ116" s="25">
        <f t="shared" si="134"/>
        <v>0</v>
      </c>
      <c r="BA116" s="25">
        <f t="shared" si="134"/>
        <v>50000000</v>
      </c>
      <c r="BB116" s="25">
        <f t="shared" si="134"/>
        <v>0</v>
      </c>
      <c r="BC116" s="25">
        <f t="shared" si="135"/>
        <v>0</v>
      </c>
      <c r="BD116" s="25">
        <f t="shared" si="135"/>
        <v>0</v>
      </c>
      <c r="BE116" s="25">
        <f t="shared" si="135"/>
        <v>0</v>
      </c>
      <c r="BF116" s="25">
        <f t="shared" si="135"/>
        <v>0</v>
      </c>
      <c r="BG116" s="25">
        <f t="shared" si="135"/>
        <v>0</v>
      </c>
      <c r="BH116" s="25">
        <f t="shared" si="135"/>
        <v>0</v>
      </c>
      <c r="BI116" s="25">
        <f t="shared" si="135"/>
        <v>0</v>
      </c>
      <c r="BJ116" s="25">
        <f t="shared" si="135"/>
        <v>0</v>
      </c>
      <c r="BK116" s="25">
        <f t="shared" si="135"/>
        <v>0</v>
      </c>
      <c r="BL116" s="25">
        <f t="shared" si="135"/>
        <v>0</v>
      </c>
      <c r="BM116" s="25">
        <f t="shared" si="135"/>
        <v>0</v>
      </c>
      <c r="BN116" s="25">
        <f t="shared" si="135"/>
        <v>0</v>
      </c>
      <c r="BO116" s="25"/>
      <c r="BP116" s="25"/>
      <c r="BQ116" s="25">
        <f t="shared" si="136"/>
        <v>0</v>
      </c>
      <c r="BR116" s="25">
        <f t="shared" si="137"/>
        <v>59130982</v>
      </c>
      <c r="BS116" s="27">
        <f t="shared" si="112"/>
        <v>9.8561977185369798E-2</v>
      </c>
      <c r="BT116" s="25">
        <f t="shared" si="138"/>
        <v>11935200</v>
      </c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>
        <f>+'[6]JULIO 2016'!$H$179</f>
        <v>11935200</v>
      </c>
      <c r="CO116" s="27">
        <f t="shared" si="114"/>
        <v>0.90143802281463015</v>
      </c>
      <c r="CP116" s="25">
        <f t="shared" si="139"/>
        <v>109158150</v>
      </c>
      <c r="CQ116" s="25">
        <f t="shared" si="140"/>
        <v>0</v>
      </c>
      <c r="CR116" s="25">
        <f t="shared" si="140"/>
        <v>50000000</v>
      </c>
      <c r="CS116" s="25">
        <f t="shared" si="140"/>
        <v>0</v>
      </c>
      <c r="CT116" s="25">
        <f t="shared" si="140"/>
        <v>0</v>
      </c>
      <c r="CU116" s="25">
        <f t="shared" si="140"/>
        <v>0</v>
      </c>
      <c r="CV116" s="25">
        <f t="shared" si="140"/>
        <v>0</v>
      </c>
      <c r="CW116" s="25">
        <f t="shared" si="141"/>
        <v>0</v>
      </c>
      <c r="CX116" s="25">
        <f t="shared" si="141"/>
        <v>0</v>
      </c>
      <c r="CY116" s="25">
        <f t="shared" si="141"/>
        <v>0</v>
      </c>
      <c r="CZ116" s="25">
        <f t="shared" si="142"/>
        <v>0</v>
      </c>
      <c r="DA116" s="25">
        <f t="shared" si="142"/>
        <v>0</v>
      </c>
      <c r="DB116" s="25">
        <f t="shared" si="142"/>
        <v>0</v>
      </c>
      <c r="DC116" s="25">
        <f t="shared" si="143"/>
        <v>0</v>
      </c>
      <c r="DD116" s="25">
        <f t="shared" si="143"/>
        <v>0</v>
      </c>
      <c r="DE116" s="25">
        <f t="shared" si="143"/>
        <v>0</v>
      </c>
      <c r="DF116" s="25"/>
      <c r="DG116" s="25">
        <f t="shared" si="144"/>
        <v>0</v>
      </c>
      <c r="DH116" s="25">
        <f t="shared" si="144"/>
        <v>0</v>
      </c>
      <c r="DI116" s="25">
        <f t="shared" si="144"/>
        <v>59158150</v>
      </c>
    </row>
    <row r="117" spans="1:113" ht="44.25" customHeight="1" x14ac:dyDescent="0.25">
      <c r="A117" s="193"/>
      <c r="B117" s="187"/>
      <c r="C117" s="70" t="s">
        <v>328</v>
      </c>
      <c r="D117" s="22" t="s">
        <v>329</v>
      </c>
      <c r="E117" s="93">
        <v>211</v>
      </c>
      <c r="F117" s="24" t="s">
        <v>330</v>
      </c>
      <c r="G117" s="25">
        <f t="shared" si="131"/>
        <v>6500000</v>
      </c>
      <c r="H117" s="36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f>3000000+2500000+1000000</f>
        <v>6500000</v>
      </c>
      <c r="AB117" s="27">
        <f t="shared" si="104"/>
        <v>0.84613384615384613</v>
      </c>
      <c r="AC117" s="25">
        <f t="shared" si="132"/>
        <v>5499870</v>
      </c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>
        <f>+'[1]AGOSTO 2016'!$AG$231</f>
        <v>5499870</v>
      </c>
      <c r="AX117" s="27">
        <f t="shared" si="106"/>
        <v>0.15386615384615387</v>
      </c>
      <c r="AY117" s="25">
        <f t="shared" si="133"/>
        <v>1000130</v>
      </c>
      <c r="AZ117" s="25">
        <f t="shared" si="134"/>
        <v>0</v>
      </c>
      <c r="BA117" s="25">
        <f t="shared" si="134"/>
        <v>0</v>
      </c>
      <c r="BB117" s="25">
        <f t="shared" si="134"/>
        <v>0</v>
      </c>
      <c r="BC117" s="25">
        <f t="shared" si="135"/>
        <v>0</v>
      </c>
      <c r="BD117" s="25">
        <f t="shared" si="135"/>
        <v>0</v>
      </c>
      <c r="BE117" s="25">
        <f t="shared" si="135"/>
        <v>0</v>
      </c>
      <c r="BF117" s="25">
        <f t="shared" si="135"/>
        <v>0</v>
      </c>
      <c r="BG117" s="25">
        <f t="shared" si="135"/>
        <v>0</v>
      </c>
      <c r="BH117" s="25">
        <f t="shared" si="135"/>
        <v>0</v>
      </c>
      <c r="BI117" s="25">
        <f t="shared" si="135"/>
        <v>0</v>
      </c>
      <c r="BJ117" s="25">
        <f t="shared" si="135"/>
        <v>0</v>
      </c>
      <c r="BK117" s="25">
        <f t="shared" si="135"/>
        <v>0</v>
      </c>
      <c r="BL117" s="25">
        <f t="shared" si="135"/>
        <v>0</v>
      </c>
      <c r="BM117" s="25">
        <f t="shared" si="135"/>
        <v>0</v>
      </c>
      <c r="BN117" s="25">
        <f t="shared" si="135"/>
        <v>0</v>
      </c>
      <c r="BO117" s="25"/>
      <c r="BP117" s="25"/>
      <c r="BQ117" s="25">
        <f t="shared" si="136"/>
        <v>0</v>
      </c>
      <c r="BR117" s="25">
        <f t="shared" si="137"/>
        <v>1000130</v>
      </c>
      <c r="BS117" s="27">
        <f t="shared" si="112"/>
        <v>0.84321353846153846</v>
      </c>
      <c r="BT117" s="25">
        <f t="shared" si="138"/>
        <v>5480888</v>
      </c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>
        <f>+'[1]AGOSTO 2016'!$H$229</f>
        <v>5480888</v>
      </c>
      <c r="CO117" s="27">
        <f t="shared" si="114"/>
        <v>0.15678646153846154</v>
      </c>
      <c r="CP117" s="25">
        <f t="shared" si="139"/>
        <v>1019112</v>
      </c>
      <c r="CQ117" s="25">
        <f t="shared" si="140"/>
        <v>0</v>
      </c>
      <c r="CR117" s="25">
        <f t="shared" si="140"/>
        <v>0</v>
      </c>
      <c r="CS117" s="25">
        <f t="shared" si="140"/>
        <v>0</v>
      </c>
      <c r="CT117" s="25">
        <f t="shared" si="140"/>
        <v>0</v>
      </c>
      <c r="CU117" s="25">
        <f t="shared" si="140"/>
        <v>0</v>
      </c>
      <c r="CV117" s="25">
        <f t="shared" si="140"/>
        <v>0</v>
      </c>
      <c r="CW117" s="25">
        <f t="shared" si="141"/>
        <v>0</v>
      </c>
      <c r="CX117" s="25">
        <f t="shared" si="141"/>
        <v>0</v>
      </c>
      <c r="CY117" s="25">
        <f t="shared" si="141"/>
        <v>0</v>
      </c>
      <c r="CZ117" s="25">
        <f t="shared" si="142"/>
        <v>0</v>
      </c>
      <c r="DA117" s="25">
        <f t="shared" si="142"/>
        <v>0</v>
      </c>
      <c r="DB117" s="25">
        <f t="shared" si="142"/>
        <v>0</v>
      </c>
      <c r="DC117" s="25">
        <f t="shared" si="143"/>
        <v>0</v>
      </c>
      <c r="DD117" s="25">
        <f t="shared" si="143"/>
        <v>0</v>
      </c>
      <c r="DE117" s="25">
        <f t="shared" si="143"/>
        <v>0</v>
      </c>
      <c r="DF117" s="25"/>
      <c r="DG117" s="25">
        <f t="shared" si="144"/>
        <v>0</v>
      </c>
      <c r="DH117" s="25">
        <f t="shared" si="144"/>
        <v>0</v>
      </c>
      <c r="DI117" s="25">
        <f t="shared" si="144"/>
        <v>1019112</v>
      </c>
    </row>
    <row r="118" spans="1:113" ht="27.75" customHeight="1" x14ac:dyDescent="0.25">
      <c r="A118" s="193"/>
      <c r="B118" s="187"/>
      <c r="C118" s="70" t="s">
        <v>331</v>
      </c>
      <c r="D118" s="22" t="s">
        <v>332</v>
      </c>
      <c r="E118" s="93">
        <v>211</v>
      </c>
      <c r="F118" s="24" t="s">
        <v>76</v>
      </c>
      <c r="G118" s="25">
        <f t="shared" si="131"/>
        <v>5846336</v>
      </c>
      <c r="H118" s="36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f>5000000+846336</f>
        <v>5846336</v>
      </c>
      <c r="AB118" s="27">
        <f t="shared" si="104"/>
        <v>0.49506990361142433</v>
      </c>
      <c r="AC118" s="25">
        <f t="shared" si="132"/>
        <v>2894345</v>
      </c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>
        <f>+'[7]JUNIO 2016'!$AG$179</f>
        <v>2894345</v>
      </c>
      <c r="AX118" s="27">
        <f t="shared" si="106"/>
        <v>0.50493009638857567</v>
      </c>
      <c r="AY118" s="25">
        <f t="shared" si="133"/>
        <v>2951991</v>
      </c>
      <c r="AZ118" s="25">
        <f t="shared" si="134"/>
        <v>0</v>
      </c>
      <c r="BA118" s="25">
        <f t="shared" si="134"/>
        <v>0</v>
      </c>
      <c r="BB118" s="25">
        <f t="shared" si="134"/>
        <v>0</v>
      </c>
      <c r="BC118" s="25">
        <f t="shared" si="135"/>
        <v>0</v>
      </c>
      <c r="BD118" s="25">
        <f t="shared" si="135"/>
        <v>0</v>
      </c>
      <c r="BE118" s="25">
        <f t="shared" si="135"/>
        <v>0</v>
      </c>
      <c r="BF118" s="25">
        <f t="shared" si="135"/>
        <v>0</v>
      </c>
      <c r="BG118" s="25">
        <f t="shared" si="135"/>
        <v>0</v>
      </c>
      <c r="BH118" s="25">
        <f t="shared" si="135"/>
        <v>0</v>
      </c>
      <c r="BI118" s="25">
        <f t="shared" si="135"/>
        <v>0</v>
      </c>
      <c r="BJ118" s="25">
        <f t="shared" si="135"/>
        <v>0</v>
      </c>
      <c r="BK118" s="25">
        <f t="shared" si="135"/>
        <v>0</v>
      </c>
      <c r="BL118" s="25">
        <f t="shared" si="135"/>
        <v>0</v>
      </c>
      <c r="BM118" s="25">
        <f t="shared" si="135"/>
        <v>0</v>
      </c>
      <c r="BN118" s="25">
        <f t="shared" si="135"/>
        <v>0</v>
      </c>
      <c r="BO118" s="25"/>
      <c r="BP118" s="25"/>
      <c r="BQ118" s="25">
        <f t="shared" si="136"/>
        <v>0</v>
      </c>
      <c r="BR118" s="25">
        <f t="shared" si="137"/>
        <v>2951991</v>
      </c>
      <c r="BS118" s="27">
        <f t="shared" si="112"/>
        <v>0.49506990361142433</v>
      </c>
      <c r="BT118" s="25">
        <f t="shared" si="138"/>
        <v>2894345</v>
      </c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>
        <f>+'[7]JUNIO 2016'!$H$177</f>
        <v>2894345</v>
      </c>
      <c r="CO118" s="27">
        <f t="shared" si="114"/>
        <v>0.50493009638857567</v>
      </c>
      <c r="CP118" s="25">
        <f t="shared" si="139"/>
        <v>2951991</v>
      </c>
      <c r="CQ118" s="25">
        <f t="shared" si="140"/>
        <v>0</v>
      </c>
      <c r="CR118" s="25">
        <f t="shared" si="140"/>
        <v>0</v>
      </c>
      <c r="CS118" s="25">
        <f t="shared" si="140"/>
        <v>0</v>
      </c>
      <c r="CT118" s="25">
        <f t="shared" si="140"/>
        <v>0</v>
      </c>
      <c r="CU118" s="25">
        <f t="shared" si="140"/>
        <v>0</v>
      </c>
      <c r="CV118" s="25">
        <f t="shared" si="140"/>
        <v>0</v>
      </c>
      <c r="CW118" s="25">
        <f t="shared" si="141"/>
        <v>0</v>
      </c>
      <c r="CX118" s="25">
        <f t="shared" si="141"/>
        <v>0</v>
      </c>
      <c r="CY118" s="25">
        <f t="shared" si="141"/>
        <v>0</v>
      </c>
      <c r="CZ118" s="25">
        <f t="shared" si="142"/>
        <v>0</v>
      </c>
      <c r="DA118" s="25">
        <f t="shared" si="142"/>
        <v>0</v>
      </c>
      <c r="DB118" s="25">
        <f t="shared" si="142"/>
        <v>0</v>
      </c>
      <c r="DC118" s="25">
        <f t="shared" si="143"/>
        <v>0</v>
      </c>
      <c r="DD118" s="25">
        <f t="shared" si="143"/>
        <v>0</v>
      </c>
      <c r="DE118" s="25">
        <f t="shared" si="143"/>
        <v>0</v>
      </c>
      <c r="DF118" s="25"/>
      <c r="DG118" s="25">
        <f t="shared" si="144"/>
        <v>0</v>
      </c>
      <c r="DH118" s="25">
        <f t="shared" si="144"/>
        <v>0</v>
      </c>
      <c r="DI118" s="25">
        <f t="shared" si="144"/>
        <v>2951991</v>
      </c>
    </row>
    <row r="119" spans="1:113" s="59" customFormat="1" ht="29.25" customHeight="1" x14ac:dyDescent="0.25">
      <c r="A119" s="193"/>
      <c r="B119" s="187"/>
      <c r="C119" s="57" t="s">
        <v>333</v>
      </c>
      <c r="D119" s="22" t="s">
        <v>334</v>
      </c>
      <c r="E119" s="91">
        <v>211</v>
      </c>
      <c r="F119" s="24" t="s">
        <v>313</v>
      </c>
      <c r="G119" s="25">
        <f t="shared" si="131"/>
        <v>325200000</v>
      </c>
      <c r="H119" s="30"/>
      <c r="I119" s="56">
        <f>296464791+28735209</f>
        <v>325200000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>
        <f>28735209-28735209</f>
        <v>0</v>
      </c>
      <c r="V119" s="25"/>
      <c r="W119" s="25"/>
      <c r="X119" s="25"/>
      <c r="Y119" s="25"/>
      <c r="Z119" s="25"/>
      <c r="AB119" s="60">
        <f t="shared" si="104"/>
        <v>0.7836409255842558</v>
      </c>
      <c r="AC119" s="25">
        <f t="shared" si="132"/>
        <v>254840029</v>
      </c>
      <c r="AD119" s="56"/>
      <c r="AE119" s="56"/>
      <c r="AF119" s="56">
        <f>+'[1]AGOSTO 2016'!$M$249</f>
        <v>254840029</v>
      </c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60">
        <f t="shared" si="106"/>
        <v>0.2163590744157442</v>
      </c>
      <c r="AY119" s="25">
        <f t="shared" si="133"/>
        <v>70359971</v>
      </c>
      <c r="AZ119" s="56">
        <f t="shared" si="134"/>
        <v>0</v>
      </c>
      <c r="BA119" s="56">
        <f t="shared" si="134"/>
        <v>70359971</v>
      </c>
      <c r="BB119" s="56">
        <f t="shared" si="134"/>
        <v>0</v>
      </c>
      <c r="BC119" s="56">
        <f t="shared" si="135"/>
        <v>0</v>
      </c>
      <c r="BD119" s="56">
        <f t="shared" si="135"/>
        <v>0</v>
      </c>
      <c r="BE119" s="25">
        <f t="shared" si="135"/>
        <v>0</v>
      </c>
      <c r="BF119" s="56">
        <f t="shared" si="135"/>
        <v>0</v>
      </c>
      <c r="BG119" s="56">
        <f t="shared" si="135"/>
        <v>0</v>
      </c>
      <c r="BH119" s="56">
        <f t="shared" si="135"/>
        <v>0</v>
      </c>
      <c r="BI119" s="56">
        <f t="shared" si="135"/>
        <v>0</v>
      </c>
      <c r="BJ119" s="56">
        <f t="shared" si="135"/>
        <v>0</v>
      </c>
      <c r="BK119" s="56">
        <f t="shared" si="135"/>
        <v>0</v>
      </c>
      <c r="BL119" s="56">
        <f t="shared" si="135"/>
        <v>0</v>
      </c>
      <c r="BM119" s="56">
        <f t="shared" si="135"/>
        <v>0</v>
      </c>
      <c r="BN119" s="56">
        <f t="shared" si="135"/>
        <v>0</v>
      </c>
      <c r="BO119" s="56"/>
      <c r="BP119" s="56"/>
      <c r="BQ119" s="25">
        <f t="shared" si="136"/>
        <v>0</v>
      </c>
      <c r="BR119" s="56">
        <f t="shared" si="137"/>
        <v>0</v>
      </c>
      <c r="BS119" s="60">
        <f t="shared" si="112"/>
        <v>0.66828299200492003</v>
      </c>
      <c r="BT119" s="25">
        <f t="shared" si="138"/>
        <v>217325629</v>
      </c>
      <c r="BU119" s="56"/>
      <c r="BV119" s="56"/>
      <c r="BW119" s="56">
        <f>+'[1]AGOSTO 2016'!$H$247</f>
        <v>217325629</v>
      </c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60">
        <f t="shared" si="114"/>
        <v>0.33171700799507997</v>
      </c>
      <c r="CP119" s="25">
        <f t="shared" si="139"/>
        <v>107874371</v>
      </c>
      <c r="CQ119" s="25">
        <f t="shared" si="140"/>
        <v>0</v>
      </c>
      <c r="CR119" s="56">
        <f t="shared" si="140"/>
        <v>107874371</v>
      </c>
      <c r="CS119" s="56">
        <f t="shared" si="140"/>
        <v>0</v>
      </c>
      <c r="CT119" s="56">
        <f t="shared" si="140"/>
        <v>0</v>
      </c>
      <c r="CU119" s="56">
        <f t="shared" si="140"/>
        <v>0</v>
      </c>
      <c r="CV119" s="25">
        <f t="shared" si="140"/>
        <v>0</v>
      </c>
      <c r="CW119" s="56">
        <f t="shared" si="141"/>
        <v>0</v>
      </c>
      <c r="CX119" s="56">
        <f t="shared" si="141"/>
        <v>0</v>
      </c>
      <c r="CY119" s="25">
        <f t="shared" si="141"/>
        <v>0</v>
      </c>
      <c r="CZ119" s="56">
        <f t="shared" si="142"/>
        <v>0</v>
      </c>
      <c r="DA119" s="56">
        <f t="shared" si="142"/>
        <v>0</v>
      </c>
      <c r="DB119" s="56">
        <f t="shared" si="142"/>
        <v>0</v>
      </c>
      <c r="DC119" s="56">
        <f t="shared" si="143"/>
        <v>0</v>
      </c>
      <c r="DD119" s="56">
        <f t="shared" si="143"/>
        <v>0</v>
      </c>
      <c r="DE119" s="56">
        <f t="shared" si="143"/>
        <v>0</v>
      </c>
      <c r="DF119" s="56"/>
      <c r="DG119" s="56">
        <f t="shared" si="144"/>
        <v>0</v>
      </c>
      <c r="DH119" s="56">
        <f t="shared" si="144"/>
        <v>0</v>
      </c>
      <c r="DI119" s="56">
        <f t="shared" si="144"/>
        <v>0</v>
      </c>
    </row>
    <row r="120" spans="1:113" s="59" customFormat="1" ht="28.5" customHeight="1" x14ac:dyDescent="0.25">
      <c r="A120" s="193"/>
      <c r="B120" s="188"/>
      <c r="C120" s="57" t="s">
        <v>335</v>
      </c>
      <c r="D120" s="22" t="s">
        <v>336</v>
      </c>
      <c r="E120" s="91">
        <v>211</v>
      </c>
      <c r="F120" s="24" t="s">
        <v>313</v>
      </c>
      <c r="G120" s="25">
        <f t="shared" si="131"/>
        <v>250000000</v>
      </c>
      <c r="H120" s="30"/>
      <c r="I120" s="56"/>
      <c r="J120" s="25"/>
      <c r="K120" s="25"/>
      <c r="L120" s="25"/>
      <c r="M120" s="25"/>
      <c r="N120" s="25"/>
      <c r="O120" s="25"/>
      <c r="P120" s="25"/>
      <c r="Q120" s="25"/>
      <c r="R120" s="25"/>
      <c r="S120" s="25">
        <v>250000000</v>
      </c>
      <c r="T120" s="25"/>
      <c r="U120" s="25"/>
      <c r="V120" s="25"/>
      <c r="W120" s="25"/>
      <c r="X120" s="25"/>
      <c r="Y120" s="25"/>
      <c r="Z120" s="25"/>
      <c r="AB120" s="60">
        <f t="shared" si="104"/>
        <v>1</v>
      </c>
      <c r="AC120" s="25">
        <f t="shared" si="132"/>
        <v>250000000</v>
      </c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>
        <f>+'[7]JUNIO 2016'!$W$197</f>
        <v>250000000</v>
      </c>
      <c r="AQ120" s="56"/>
      <c r="AR120" s="56"/>
      <c r="AS120" s="56"/>
      <c r="AT120" s="56"/>
      <c r="AU120" s="56"/>
      <c r="AV120" s="56"/>
      <c r="AW120" s="56"/>
      <c r="AX120" s="60">
        <f t="shared" si="106"/>
        <v>0</v>
      </c>
      <c r="AY120" s="25">
        <f t="shared" si="133"/>
        <v>0</v>
      </c>
      <c r="AZ120" s="56">
        <f t="shared" si="134"/>
        <v>0</v>
      </c>
      <c r="BA120" s="56">
        <f t="shared" si="134"/>
        <v>0</v>
      </c>
      <c r="BB120" s="56">
        <f t="shared" si="134"/>
        <v>0</v>
      </c>
      <c r="BC120" s="56">
        <f t="shared" si="134"/>
        <v>0</v>
      </c>
      <c r="BD120" s="56">
        <f t="shared" si="134"/>
        <v>0</v>
      </c>
      <c r="BE120" s="56">
        <f t="shared" si="134"/>
        <v>0</v>
      </c>
      <c r="BF120" s="56">
        <f t="shared" si="134"/>
        <v>0</v>
      </c>
      <c r="BG120" s="56">
        <f t="shared" si="134"/>
        <v>0</v>
      </c>
      <c r="BH120" s="56">
        <f t="shared" si="134"/>
        <v>0</v>
      </c>
      <c r="BI120" s="56">
        <f t="shared" si="134"/>
        <v>0</v>
      </c>
      <c r="BJ120" s="56">
        <f t="shared" si="134"/>
        <v>0</v>
      </c>
      <c r="BK120" s="56">
        <f t="shared" si="134"/>
        <v>0</v>
      </c>
      <c r="BL120" s="56">
        <f t="shared" si="134"/>
        <v>0</v>
      </c>
      <c r="BM120" s="56">
        <f t="shared" si="134"/>
        <v>0</v>
      </c>
      <c r="BN120" s="56">
        <f t="shared" si="134"/>
        <v>0</v>
      </c>
      <c r="BO120" s="56"/>
      <c r="BP120" s="56">
        <f>X120-AU120</f>
        <v>0</v>
      </c>
      <c r="BQ120" s="25">
        <f t="shared" si="136"/>
        <v>0</v>
      </c>
      <c r="BR120" s="56">
        <f>Z120-AW120</f>
        <v>0</v>
      </c>
      <c r="BS120" s="60">
        <f t="shared" si="112"/>
        <v>0.99872130800000003</v>
      </c>
      <c r="BT120" s="25">
        <f t="shared" si="138"/>
        <v>249680327</v>
      </c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>
        <f>+'[6]JULIO 2016'!$H$221</f>
        <v>249680327</v>
      </c>
      <c r="CH120" s="56"/>
      <c r="CI120" s="56"/>
      <c r="CJ120" s="56"/>
      <c r="CK120" s="56"/>
      <c r="CL120" s="56"/>
      <c r="CM120" s="56"/>
      <c r="CN120" s="56"/>
      <c r="CO120" s="60">
        <f t="shared" si="114"/>
        <v>1.2786919999999702E-3</v>
      </c>
      <c r="CP120" s="25">
        <f t="shared" si="139"/>
        <v>319673</v>
      </c>
      <c r="CQ120" s="25">
        <f t="shared" si="140"/>
        <v>0</v>
      </c>
      <c r="CR120" s="25">
        <f t="shared" si="140"/>
        <v>0</v>
      </c>
      <c r="CS120" s="25">
        <f t="shared" si="140"/>
        <v>0</v>
      </c>
      <c r="CT120" s="25">
        <f t="shared" si="140"/>
        <v>0</v>
      </c>
      <c r="CU120" s="25">
        <f t="shared" si="140"/>
        <v>0</v>
      </c>
      <c r="CV120" s="25">
        <f t="shared" si="140"/>
        <v>0</v>
      </c>
      <c r="CW120" s="25">
        <f>N120-CB120</f>
        <v>0</v>
      </c>
      <c r="CX120" s="25">
        <f>O120-CC120</f>
        <v>0</v>
      </c>
      <c r="CY120" s="25">
        <f>P120-CD120</f>
        <v>0</v>
      </c>
      <c r="CZ120" s="25">
        <f t="shared" si="142"/>
        <v>0</v>
      </c>
      <c r="DA120" s="25">
        <f t="shared" si="142"/>
        <v>0</v>
      </c>
      <c r="DB120" s="25">
        <f t="shared" si="142"/>
        <v>319673</v>
      </c>
      <c r="DC120" s="25">
        <f>T120-CH120</f>
        <v>0</v>
      </c>
      <c r="DD120" s="25">
        <f>U120-CI120</f>
        <v>0</v>
      </c>
      <c r="DE120" s="25">
        <f>V120-CJ120</f>
        <v>0</v>
      </c>
      <c r="DF120" s="25"/>
      <c r="DG120" s="25">
        <f>X120-CL120</f>
        <v>0</v>
      </c>
      <c r="DH120" s="25">
        <f>Y120-CM120</f>
        <v>0</v>
      </c>
      <c r="DI120" s="25">
        <f>Z120-CN120</f>
        <v>0</v>
      </c>
    </row>
    <row r="121" spans="1:113" s="59" customFormat="1" ht="50.25" customHeight="1" x14ac:dyDescent="0.25">
      <c r="A121" s="97"/>
      <c r="B121" s="22" t="s">
        <v>337</v>
      </c>
      <c r="C121" s="57" t="s">
        <v>338</v>
      </c>
      <c r="D121" s="22" t="s">
        <v>339</v>
      </c>
      <c r="E121" s="91" t="s">
        <v>340</v>
      </c>
      <c r="F121" s="24" t="s">
        <v>313</v>
      </c>
      <c r="G121" s="25">
        <f t="shared" si="131"/>
        <v>3185000000</v>
      </c>
      <c r="H121" s="30"/>
      <c r="I121" s="56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>
        <f>485000000</f>
        <v>485000000</v>
      </c>
      <c r="U121" s="25"/>
      <c r="V121" s="25"/>
      <c r="W121" s="25"/>
      <c r="X121" s="25">
        <v>2700000000</v>
      </c>
      <c r="Y121" s="25"/>
      <c r="Z121" s="25"/>
      <c r="AB121" s="60">
        <f t="shared" si="104"/>
        <v>1</v>
      </c>
      <c r="AC121" s="25">
        <f t="shared" si="132"/>
        <v>3185000000</v>
      </c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>
        <f>+'[3]ABRIL 2016'!$X$1694</f>
        <v>485000000</v>
      </c>
      <c r="AR121" s="56"/>
      <c r="AS121" s="56"/>
      <c r="AT121" s="56"/>
      <c r="AU121" s="56">
        <f>+'[9]MARZO 2016 ULTIMO'!$AA$1371</f>
        <v>2700000000</v>
      </c>
      <c r="AV121" s="56"/>
      <c r="AW121" s="56"/>
      <c r="AX121" s="60">
        <f t="shared" si="106"/>
        <v>0</v>
      </c>
      <c r="AY121" s="25">
        <f t="shared" si="133"/>
        <v>0</v>
      </c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>
        <f>T121-AQ121</f>
        <v>0</v>
      </c>
      <c r="BM121" s="56"/>
      <c r="BN121" s="56"/>
      <c r="BO121" s="56"/>
      <c r="BP121" s="56">
        <f>X121-AU121</f>
        <v>0</v>
      </c>
      <c r="BQ121" s="25"/>
      <c r="BR121" s="56"/>
      <c r="BS121" s="60">
        <f t="shared" si="112"/>
        <v>0.28313953406593406</v>
      </c>
      <c r="BT121" s="25">
        <f t="shared" si="138"/>
        <v>901799416</v>
      </c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>
        <f>+'[1]AGOSTO 2016'!$H$3122</f>
        <v>472748357</v>
      </c>
      <c r="CI121" s="56"/>
      <c r="CJ121" s="56"/>
      <c r="CK121" s="56"/>
      <c r="CL121" s="56">
        <f>+'[1]AGOSTO 2016'!$H$3113</f>
        <v>429051059</v>
      </c>
      <c r="CM121" s="56"/>
      <c r="CN121" s="56"/>
      <c r="CO121" s="60">
        <f t="shared" si="114"/>
        <v>0.71686046593406594</v>
      </c>
      <c r="CP121" s="25">
        <f t="shared" si="139"/>
        <v>2283200584</v>
      </c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>
        <f>T121-CH121</f>
        <v>12251643</v>
      </c>
      <c r="DD121" s="25"/>
      <c r="DE121" s="25"/>
      <c r="DF121" s="25"/>
      <c r="DG121" s="25">
        <f>X121-CL121</f>
        <v>2270948941</v>
      </c>
      <c r="DH121" s="25"/>
      <c r="DI121" s="25"/>
    </row>
    <row r="122" spans="1:113" ht="33.75" customHeight="1" x14ac:dyDescent="0.25">
      <c r="A122" s="193" t="s">
        <v>303</v>
      </c>
      <c r="B122" s="186" t="s">
        <v>341</v>
      </c>
      <c r="C122" s="70" t="s">
        <v>342</v>
      </c>
      <c r="D122" s="22" t="s">
        <v>343</v>
      </c>
      <c r="E122" s="93">
        <v>510</v>
      </c>
      <c r="F122" s="24" t="s">
        <v>344</v>
      </c>
      <c r="G122" s="25">
        <f t="shared" si="131"/>
        <v>91488992</v>
      </c>
      <c r="H122" s="25"/>
      <c r="I122" s="25"/>
      <c r="J122" s="25"/>
      <c r="K122" s="25">
        <f>95000000-3511008</f>
        <v>91488992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7">
        <f t="shared" si="104"/>
        <v>0.92325861454457825</v>
      </c>
      <c r="AC122" s="25">
        <f t="shared" si="132"/>
        <v>84468000</v>
      </c>
      <c r="AD122" s="25"/>
      <c r="AE122" s="25"/>
      <c r="AF122" s="25"/>
      <c r="AG122" s="25"/>
      <c r="AH122" s="25">
        <f>+'[6]JULIO 2016'!$O$1834</f>
        <v>84468000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7">
        <f t="shared" si="106"/>
        <v>7.6741385455421751E-2</v>
      </c>
      <c r="AY122" s="25">
        <f t="shared" si="133"/>
        <v>7020992</v>
      </c>
      <c r="AZ122" s="25">
        <f t="shared" ref="AZ122:BB127" si="145">H122-AE122</f>
        <v>0</v>
      </c>
      <c r="BA122" s="25">
        <f t="shared" si="145"/>
        <v>0</v>
      </c>
      <c r="BB122" s="25">
        <f t="shared" si="145"/>
        <v>0</v>
      </c>
      <c r="BC122" s="25">
        <f t="shared" ref="BC122:BN127" si="146">+K122-AH122</f>
        <v>7020992</v>
      </c>
      <c r="BD122" s="25">
        <f t="shared" si="146"/>
        <v>0</v>
      </c>
      <c r="BE122" s="25">
        <f t="shared" si="146"/>
        <v>0</v>
      </c>
      <c r="BF122" s="25">
        <f t="shared" si="146"/>
        <v>0</v>
      </c>
      <c r="BG122" s="25">
        <f t="shared" si="146"/>
        <v>0</v>
      </c>
      <c r="BH122" s="25">
        <f t="shared" si="146"/>
        <v>0</v>
      </c>
      <c r="BI122" s="25">
        <f t="shared" si="146"/>
        <v>0</v>
      </c>
      <c r="BJ122" s="25">
        <f t="shared" si="146"/>
        <v>0</v>
      </c>
      <c r="BK122" s="25">
        <f t="shared" si="146"/>
        <v>0</v>
      </c>
      <c r="BL122" s="25">
        <f t="shared" si="146"/>
        <v>0</v>
      </c>
      <c r="BM122" s="25">
        <f t="shared" si="146"/>
        <v>0</v>
      </c>
      <c r="BN122" s="25">
        <f t="shared" si="146"/>
        <v>0</v>
      </c>
      <c r="BO122" s="25"/>
      <c r="BP122" s="25"/>
      <c r="BQ122" s="25">
        <f t="shared" ref="BQ122:BQ127" si="147">Y122-AV122</f>
        <v>0</v>
      </c>
      <c r="BR122" s="25">
        <f t="shared" ref="BR122:BR127" si="148">+Z122-AW122</f>
        <v>0</v>
      </c>
      <c r="BS122" s="27">
        <f t="shared" si="112"/>
        <v>0.89873335799786713</v>
      </c>
      <c r="BT122" s="25">
        <f t="shared" si="138"/>
        <v>82224209</v>
      </c>
      <c r="BU122" s="25"/>
      <c r="BV122" s="25"/>
      <c r="BW122" s="25"/>
      <c r="BX122" s="25"/>
      <c r="BY122" s="25">
        <f>+'[1]AGOSTO 2016'!$H$2440</f>
        <v>82224209</v>
      </c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7">
        <f t="shared" si="114"/>
        <v>0.10126664200213287</v>
      </c>
      <c r="CP122" s="25">
        <f t="shared" si="139"/>
        <v>9264783</v>
      </c>
      <c r="CQ122" s="25">
        <f t="shared" ref="CQ122:CV127" si="149">H122-BV122</f>
        <v>0</v>
      </c>
      <c r="CR122" s="25">
        <f t="shared" si="149"/>
        <v>0</v>
      </c>
      <c r="CS122" s="25">
        <f t="shared" si="149"/>
        <v>0</v>
      </c>
      <c r="CT122" s="25">
        <f t="shared" si="149"/>
        <v>9264783</v>
      </c>
      <c r="CU122" s="25">
        <f t="shared" si="149"/>
        <v>0</v>
      </c>
      <c r="CV122" s="25">
        <f t="shared" si="149"/>
        <v>0</v>
      </c>
      <c r="CW122" s="25">
        <f t="shared" ref="CW122:CY127" si="150">+N122-CB122</f>
        <v>0</v>
      </c>
      <c r="CX122" s="25">
        <f t="shared" si="150"/>
        <v>0</v>
      </c>
      <c r="CY122" s="25">
        <f t="shared" si="150"/>
        <v>0</v>
      </c>
      <c r="CZ122" s="25">
        <f t="shared" ref="CZ122:DB127" si="151">Q122-CE122</f>
        <v>0</v>
      </c>
      <c r="DA122" s="25">
        <f t="shared" si="151"/>
        <v>0</v>
      </c>
      <c r="DB122" s="25">
        <f t="shared" si="151"/>
        <v>0</v>
      </c>
      <c r="DC122" s="25">
        <f t="shared" ref="DC122:DE127" si="152">+T122-CH122</f>
        <v>0</v>
      </c>
      <c r="DD122" s="25">
        <f t="shared" si="152"/>
        <v>0</v>
      </c>
      <c r="DE122" s="25">
        <f t="shared" si="152"/>
        <v>0</v>
      </c>
      <c r="DF122" s="25"/>
      <c r="DG122" s="25">
        <f t="shared" ref="DG122:DI127" si="153">+X122-CL122</f>
        <v>0</v>
      </c>
      <c r="DH122" s="25">
        <f t="shared" si="153"/>
        <v>0</v>
      </c>
      <c r="DI122" s="25">
        <f t="shared" si="153"/>
        <v>0</v>
      </c>
    </row>
    <row r="123" spans="1:113" ht="44.25" customHeight="1" x14ac:dyDescent="0.25">
      <c r="A123" s="193"/>
      <c r="B123" s="187"/>
      <c r="C123" s="70" t="s">
        <v>345</v>
      </c>
      <c r="D123" s="22" t="s">
        <v>346</v>
      </c>
      <c r="E123" s="93">
        <v>510</v>
      </c>
      <c r="F123" s="24" t="s">
        <v>344</v>
      </c>
      <c r="G123" s="25">
        <f t="shared" si="131"/>
        <v>105511008</v>
      </c>
      <c r="H123" s="25"/>
      <c r="I123" s="25"/>
      <c r="J123" s="25"/>
      <c r="K123" s="25">
        <f>102000000+3511008</f>
        <v>105511008</v>
      </c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B123" s="27">
        <f t="shared" si="104"/>
        <v>0.96198493336354063</v>
      </c>
      <c r="AC123" s="25">
        <f t="shared" si="132"/>
        <v>101500000</v>
      </c>
      <c r="AD123" s="25"/>
      <c r="AE123" s="25"/>
      <c r="AF123" s="25"/>
      <c r="AG123" s="25"/>
      <c r="AH123" s="25">
        <f>+'[6]JULIO 2016'!$O$1851</f>
        <v>101500000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7">
        <f t="shared" si="106"/>
        <v>3.8015066636459371E-2</v>
      </c>
      <c r="AY123" s="25">
        <f t="shared" si="133"/>
        <v>4011008</v>
      </c>
      <c r="AZ123" s="25">
        <f t="shared" si="145"/>
        <v>0</v>
      </c>
      <c r="BA123" s="25">
        <f t="shared" si="145"/>
        <v>0</v>
      </c>
      <c r="BB123" s="25">
        <f t="shared" si="145"/>
        <v>0</v>
      </c>
      <c r="BC123" s="25">
        <f t="shared" si="146"/>
        <v>4011008</v>
      </c>
      <c r="BD123" s="25">
        <f t="shared" si="146"/>
        <v>0</v>
      </c>
      <c r="BE123" s="25">
        <f t="shared" si="146"/>
        <v>0</v>
      </c>
      <c r="BF123" s="25">
        <f t="shared" si="146"/>
        <v>0</v>
      </c>
      <c r="BG123" s="25">
        <f t="shared" si="146"/>
        <v>0</v>
      </c>
      <c r="BH123" s="25">
        <f t="shared" si="146"/>
        <v>0</v>
      </c>
      <c r="BI123" s="25">
        <f t="shared" si="146"/>
        <v>0</v>
      </c>
      <c r="BJ123" s="25">
        <f t="shared" si="146"/>
        <v>0</v>
      </c>
      <c r="BK123" s="25">
        <f t="shared" si="146"/>
        <v>0</v>
      </c>
      <c r="BL123" s="25">
        <f t="shared" si="146"/>
        <v>0</v>
      </c>
      <c r="BM123" s="25">
        <f t="shared" si="146"/>
        <v>0</v>
      </c>
      <c r="BN123" s="25">
        <f t="shared" si="146"/>
        <v>0</v>
      </c>
      <c r="BO123" s="25"/>
      <c r="BP123" s="25"/>
      <c r="BQ123" s="25">
        <f t="shared" si="147"/>
        <v>0</v>
      </c>
      <c r="BR123" s="25">
        <f t="shared" si="148"/>
        <v>0</v>
      </c>
      <c r="BS123" s="27">
        <f t="shared" si="112"/>
        <v>0.95702875855379943</v>
      </c>
      <c r="BT123" s="25">
        <f t="shared" si="138"/>
        <v>100977069</v>
      </c>
      <c r="BU123" s="25"/>
      <c r="BV123" s="25"/>
      <c r="BW123" s="25"/>
      <c r="BX123" s="25"/>
      <c r="BY123" s="25">
        <f>+'[6]JULIO 2016'!$H$1849</f>
        <v>100977069</v>
      </c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7">
        <f t="shared" si="114"/>
        <v>4.297124144620057E-2</v>
      </c>
      <c r="CP123" s="25">
        <f t="shared" si="139"/>
        <v>4533939</v>
      </c>
      <c r="CQ123" s="25">
        <f t="shared" si="149"/>
        <v>0</v>
      </c>
      <c r="CR123" s="25">
        <f t="shared" si="149"/>
        <v>0</v>
      </c>
      <c r="CS123" s="25">
        <f t="shared" si="149"/>
        <v>0</v>
      </c>
      <c r="CT123" s="25">
        <f t="shared" si="149"/>
        <v>4533939</v>
      </c>
      <c r="CU123" s="25">
        <f t="shared" si="149"/>
        <v>0</v>
      </c>
      <c r="CV123" s="25">
        <f t="shared" si="149"/>
        <v>0</v>
      </c>
      <c r="CW123" s="25">
        <f t="shared" si="150"/>
        <v>0</v>
      </c>
      <c r="CX123" s="25">
        <f t="shared" si="150"/>
        <v>0</v>
      </c>
      <c r="CY123" s="25">
        <f t="shared" si="150"/>
        <v>0</v>
      </c>
      <c r="CZ123" s="25">
        <f t="shared" si="151"/>
        <v>0</v>
      </c>
      <c r="DA123" s="25">
        <f t="shared" si="151"/>
        <v>0</v>
      </c>
      <c r="DB123" s="25">
        <f t="shared" si="151"/>
        <v>0</v>
      </c>
      <c r="DC123" s="25">
        <f t="shared" si="152"/>
        <v>0</v>
      </c>
      <c r="DD123" s="25">
        <f t="shared" si="152"/>
        <v>0</v>
      </c>
      <c r="DE123" s="25">
        <f t="shared" si="152"/>
        <v>0</v>
      </c>
      <c r="DF123" s="25"/>
      <c r="DG123" s="25">
        <f t="shared" si="153"/>
        <v>0</v>
      </c>
      <c r="DH123" s="25">
        <f t="shared" si="153"/>
        <v>0</v>
      </c>
      <c r="DI123" s="25">
        <f t="shared" si="153"/>
        <v>0</v>
      </c>
    </row>
    <row r="124" spans="1:113" ht="38.25" customHeight="1" x14ac:dyDescent="0.25">
      <c r="A124" s="193"/>
      <c r="B124" s="188"/>
      <c r="C124" s="70" t="s">
        <v>347</v>
      </c>
      <c r="D124" s="22" t="s">
        <v>348</v>
      </c>
      <c r="E124" s="93">
        <v>510</v>
      </c>
      <c r="F124" s="24" t="s">
        <v>344</v>
      </c>
      <c r="G124" s="25">
        <f t="shared" si="131"/>
        <v>10000000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>
        <v>10000000</v>
      </c>
      <c r="T124" s="25"/>
      <c r="U124" s="25"/>
      <c r="V124" s="25"/>
      <c r="W124" s="25"/>
      <c r="X124" s="25"/>
      <c r="Y124" s="25"/>
      <c r="Z124" s="25"/>
      <c r="AB124" s="27">
        <f t="shared" si="104"/>
        <v>0</v>
      </c>
      <c r="AC124" s="25">
        <f t="shared" si="132"/>
        <v>0</v>
      </c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7">
        <f t="shared" si="106"/>
        <v>1</v>
      </c>
      <c r="AY124" s="25">
        <f t="shared" si="133"/>
        <v>10000000</v>
      </c>
      <c r="AZ124" s="25">
        <f t="shared" si="145"/>
        <v>0</v>
      </c>
      <c r="BA124" s="25">
        <f t="shared" si="145"/>
        <v>0</v>
      </c>
      <c r="BB124" s="25">
        <f t="shared" si="145"/>
        <v>0</v>
      </c>
      <c r="BC124" s="25">
        <f t="shared" si="146"/>
        <v>0</v>
      </c>
      <c r="BD124" s="25">
        <f t="shared" si="146"/>
        <v>0</v>
      </c>
      <c r="BE124" s="25">
        <f t="shared" si="146"/>
        <v>0</v>
      </c>
      <c r="BF124" s="25">
        <f t="shared" si="146"/>
        <v>0</v>
      </c>
      <c r="BG124" s="25">
        <f t="shared" si="146"/>
        <v>0</v>
      </c>
      <c r="BH124" s="25">
        <f t="shared" si="146"/>
        <v>0</v>
      </c>
      <c r="BI124" s="25">
        <f t="shared" si="146"/>
        <v>0</v>
      </c>
      <c r="BJ124" s="25">
        <f t="shared" si="146"/>
        <v>0</v>
      </c>
      <c r="BK124" s="25">
        <f t="shared" si="146"/>
        <v>10000000</v>
      </c>
      <c r="BL124" s="25">
        <f t="shared" si="146"/>
        <v>0</v>
      </c>
      <c r="BM124" s="25">
        <f t="shared" si="146"/>
        <v>0</v>
      </c>
      <c r="BN124" s="25">
        <f t="shared" si="146"/>
        <v>0</v>
      </c>
      <c r="BO124" s="25"/>
      <c r="BP124" s="25"/>
      <c r="BQ124" s="25">
        <f t="shared" si="147"/>
        <v>0</v>
      </c>
      <c r="BR124" s="25">
        <f t="shared" si="148"/>
        <v>0</v>
      </c>
      <c r="BS124" s="27">
        <f t="shared" si="112"/>
        <v>0</v>
      </c>
      <c r="BT124" s="25">
        <f t="shared" si="138"/>
        <v>0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7">
        <f t="shared" si="114"/>
        <v>1</v>
      </c>
      <c r="CP124" s="25">
        <f t="shared" si="139"/>
        <v>10000000</v>
      </c>
      <c r="CQ124" s="25">
        <f t="shared" si="149"/>
        <v>0</v>
      </c>
      <c r="CR124" s="25">
        <f t="shared" si="149"/>
        <v>0</v>
      </c>
      <c r="CS124" s="25">
        <f t="shared" si="149"/>
        <v>0</v>
      </c>
      <c r="CT124" s="25">
        <f t="shared" si="149"/>
        <v>0</v>
      </c>
      <c r="CU124" s="25">
        <f t="shared" si="149"/>
        <v>0</v>
      </c>
      <c r="CV124" s="25">
        <f t="shared" si="149"/>
        <v>0</v>
      </c>
      <c r="CW124" s="25">
        <f t="shared" si="150"/>
        <v>0</v>
      </c>
      <c r="CX124" s="25">
        <f t="shared" si="150"/>
        <v>0</v>
      </c>
      <c r="CY124" s="25">
        <f t="shared" si="150"/>
        <v>0</v>
      </c>
      <c r="CZ124" s="25">
        <f t="shared" si="151"/>
        <v>0</v>
      </c>
      <c r="DA124" s="25">
        <f t="shared" si="151"/>
        <v>0</v>
      </c>
      <c r="DB124" s="25">
        <f t="shared" si="151"/>
        <v>10000000</v>
      </c>
      <c r="DC124" s="25">
        <f t="shared" si="152"/>
        <v>0</v>
      </c>
      <c r="DD124" s="25">
        <f t="shared" si="152"/>
        <v>0</v>
      </c>
      <c r="DE124" s="25">
        <f t="shared" si="152"/>
        <v>0</v>
      </c>
      <c r="DF124" s="25"/>
      <c r="DG124" s="25">
        <f t="shared" si="153"/>
        <v>0</v>
      </c>
      <c r="DH124" s="25">
        <f t="shared" si="153"/>
        <v>0</v>
      </c>
      <c r="DI124" s="25">
        <f t="shared" si="153"/>
        <v>0</v>
      </c>
    </row>
    <row r="125" spans="1:113" ht="39.75" customHeight="1" x14ac:dyDescent="0.25">
      <c r="A125" s="193"/>
      <c r="B125" s="90" t="s">
        <v>349</v>
      </c>
      <c r="C125" s="70" t="s">
        <v>350</v>
      </c>
      <c r="D125" s="22" t="s">
        <v>351</v>
      </c>
      <c r="E125" s="93">
        <v>510</v>
      </c>
      <c r="F125" s="24" t="s">
        <v>344</v>
      </c>
      <c r="G125" s="25">
        <f t="shared" si="131"/>
        <v>80000000</v>
      </c>
      <c r="H125" s="25"/>
      <c r="I125" s="25"/>
      <c r="J125" s="25"/>
      <c r="K125" s="25">
        <v>80000000</v>
      </c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B125" s="27">
        <f t="shared" si="104"/>
        <v>1</v>
      </c>
      <c r="AC125" s="25">
        <f t="shared" si="132"/>
        <v>80000000</v>
      </c>
      <c r="AD125" s="25"/>
      <c r="AE125" s="25"/>
      <c r="AF125" s="25"/>
      <c r="AG125" s="25"/>
      <c r="AH125" s="25">
        <f>+'[4]ENERO 2016'!$O$625</f>
        <v>80000000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7">
        <f t="shared" si="106"/>
        <v>0</v>
      </c>
      <c r="AY125" s="25">
        <f t="shared" si="133"/>
        <v>0</v>
      </c>
      <c r="AZ125" s="25">
        <f t="shared" si="145"/>
        <v>0</v>
      </c>
      <c r="BA125" s="25">
        <f t="shared" si="145"/>
        <v>0</v>
      </c>
      <c r="BB125" s="25">
        <f t="shared" si="145"/>
        <v>0</v>
      </c>
      <c r="BC125" s="25">
        <f t="shared" si="146"/>
        <v>0</v>
      </c>
      <c r="BD125" s="25">
        <f t="shared" si="146"/>
        <v>0</v>
      </c>
      <c r="BE125" s="25">
        <f t="shared" si="146"/>
        <v>0</v>
      </c>
      <c r="BF125" s="25">
        <f t="shared" si="146"/>
        <v>0</v>
      </c>
      <c r="BG125" s="25">
        <f t="shared" si="146"/>
        <v>0</v>
      </c>
      <c r="BH125" s="25">
        <f t="shared" si="146"/>
        <v>0</v>
      </c>
      <c r="BI125" s="25">
        <f t="shared" si="146"/>
        <v>0</v>
      </c>
      <c r="BJ125" s="25">
        <f t="shared" si="146"/>
        <v>0</v>
      </c>
      <c r="BK125" s="25">
        <f t="shared" si="146"/>
        <v>0</v>
      </c>
      <c r="BL125" s="25">
        <f t="shared" si="146"/>
        <v>0</v>
      </c>
      <c r="BM125" s="25">
        <f t="shared" si="146"/>
        <v>0</v>
      </c>
      <c r="BN125" s="25">
        <f t="shared" si="146"/>
        <v>0</v>
      </c>
      <c r="BO125" s="25"/>
      <c r="BP125" s="25"/>
      <c r="BQ125" s="25">
        <f t="shared" si="147"/>
        <v>0</v>
      </c>
      <c r="BR125" s="25">
        <f t="shared" si="148"/>
        <v>0</v>
      </c>
      <c r="BS125" s="27">
        <f t="shared" si="112"/>
        <v>0.97971187500000001</v>
      </c>
      <c r="BT125" s="25">
        <f t="shared" si="138"/>
        <v>78376950</v>
      </c>
      <c r="BU125" s="25"/>
      <c r="BV125" s="25"/>
      <c r="BW125" s="25"/>
      <c r="BX125" s="25"/>
      <c r="BY125" s="25">
        <f>+'[9]MARZO 2016 ULTIMO'!$H$1027</f>
        <v>78376950</v>
      </c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7">
        <f t="shared" si="114"/>
        <v>2.028812499999999E-2</v>
      </c>
      <c r="CP125" s="25">
        <f t="shared" si="139"/>
        <v>1623050</v>
      </c>
      <c r="CQ125" s="25">
        <f t="shared" si="149"/>
        <v>0</v>
      </c>
      <c r="CR125" s="25">
        <f t="shared" si="149"/>
        <v>0</v>
      </c>
      <c r="CS125" s="25">
        <f t="shared" si="149"/>
        <v>0</v>
      </c>
      <c r="CT125" s="25">
        <f t="shared" si="149"/>
        <v>1623050</v>
      </c>
      <c r="CU125" s="25">
        <f t="shared" si="149"/>
        <v>0</v>
      </c>
      <c r="CV125" s="25">
        <f t="shared" si="149"/>
        <v>0</v>
      </c>
      <c r="CW125" s="25">
        <f t="shared" si="150"/>
        <v>0</v>
      </c>
      <c r="CX125" s="25">
        <f t="shared" si="150"/>
        <v>0</v>
      </c>
      <c r="CY125" s="25">
        <f t="shared" si="150"/>
        <v>0</v>
      </c>
      <c r="CZ125" s="25">
        <f t="shared" si="151"/>
        <v>0</v>
      </c>
      <c r="DA125" s="25">
        <f t="shared" si="151"/>
        <v>0</v>
      </c>
      <c r="DB125" s="25">
        <f t="shared" si="151"/>
        <v>0</v>
      </c>
      <c r="DC125" s="25">
        <f t="shared" si="152"/>
        <v>0</v>
      </c>
      <c r="DD125" s="25">
        <f t="shared" si="152"/>
        <v>0</v>
      </c>
      <c r="DE125" s="25">
        <f t="shared" si="152"/>
        <v>0</v>
      </c>
      <c r="DF125" s="25"/>
      <c r="DG125" s="25">
        <f t="shared" si="153"/>
        <v>0</v>
      </c>
      <c r="DH125" s="25">
        <f t="shared" si="153"/>
        <v>0</v>
      </c>
      <c r="DI125" s="25">
        <f t="shared" si="153"/>
        <v>0</v>
      </c>
    </row>
    <row r="126" spans="1:113" ht="39.75" customHeight="1" x14ac:dyDescent="0.25">
      <c r="A126" s="193"/>
      <c r="B126" s="90" t="s">
        <v>352</v>
      </c>
      <c r="C126" s="70" t="s">
        <v>353</v>
      </c>
      <c r="D126" s="22" t="s">
        <v>354</v>
      </c>
      <c r="E126" s="93">
        <v>510</v>
      </c>
      <c r="F126" s="24" t="s">
        <v>355</v>
      </c>
      <c r="G126" s="25">
        <f t="shared" si="131"/>
        <v>110000000</v>
      </c>
      <c r="H126" s="25"/>
      <c r="I126" s="25"/>
      <c r="J126" s="25"/>
      <c r="K126" s="25">
        <v>110000000</v>
      </c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B126" s="27">
        <f t="shared" si="104"/>
        <v>1</v>
      </c>
      <c r="AC126" s="25">
        <f t="shared" si="132"/>
        <v>110000000</v>
      </c>
      <c r="AD126" s="25"/>
      <c r="AE126" s="25"/>
      <c r="AF126" s="25"/>
      <c r="AG126" s="25"/>
      <c r="AH126" s="25">
        <f>+'[6]JULIO 2016'!$O$1895</f>
        <v>110000000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7">
        <f t="shared" si="106"/>
        <v>0</v>
      </c>
      <c r="AY126" s="25">
        <f t="shared" si="133"/>
        <v>0</v>
      </c>
      <c r="AZ126" s="25">
        <f t="shared" si="145"/>
        <v>0</v>
      </c>
      <c r="BA126" s="25">
        <f t="shared" si="145"/>
        <v>0</v>
      </c>
      <c r="BB126" s="25">
        <f t="shared" si="145"/>
        <v>0</v>
      </c>
      <c r="BC126" s="25">
        <f t="shared" si="146"/>
        <v>0</v>
      </c>
      <c r="BD126" s="25">
        <f t="shared" si="146"/>
        <v>0</v>
      </c>
      <c r="BE126" s="25">
        <f t="shared" si="146"/>
        <v>0</v>
      </c>
      <c r="BF126" s="25">
        <f t="shared" si="146"/>
        <v>0</v>
      </c>
      <c r="BG126" s="25">
        <f t="shared" si="146"/>
        <v>0</v>
      </c>
      <c r="BH126" s="25">
        <f t="shared" si="146"/>
        <v>0</v>
      </c>
      <c r="BI126" s="25">
        <f t="shared" si="146"/>
        <v>0</v>
      </c>
      <c r="BJ126" s="25">
        <f t="shared" si="146"/>
        <v>0</v>
      </c>
      <c r="BK126" s="25">
        <f t="shared" si="146"/>
        <v>0</v>
      </c>
      <c r="BL126" s="25">
        <f t="shared" si="146"/>
        <v>0</v>
      </c>
      <c r="BM126" s="25">
        <f t="shared" si="146"/>
        <v>0</v>
      </c>
      <c r="BN126" s="25">
        <f t="shared" si="146"/>
        <v>0</v>
      </c>
      <c r="BO126" s="25"/>
      <c r="BP126" s="25"/>
      <c r="BQ126" s="25">
        <f t="shared" si="147"/>
        <v>0</v>
      </c>
      <c r="BR126" s="25">
        <f t="shared" si="148"/>
        <v>0</v>
      </c>
      <c r="BS126" s="27">
        <f t="shared" si="112"/>
        <v>0.97765769090909094</v>
      </c>
      <c r="BT126" s="25">
        <f t="shared" si="138"/>
        <v>107542346</v>
      </c>
      <c r="BU126" s="25"/>
      <c r="BV126" s="25"/>
      <c r="BW126" s="25"/>
      <c r="BX126" s="25"/>
      <c r="BY126" s="25">
        <f>+'[6]JULIO 2016'!$H$1893</f>
        <v>107542346</v>
      </c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7">
        <f t="shared" si="114"/>
        <v>2.2342309090909063E-2</v>
      </c>
      <c r="CP126" s="25">
        <f t="shared" si="139"/>
        <v>2457654</v>
      </c>
      <c r="CQ126" s="25">
        <f t="shared" si="149"/>
        <v>0</v>
      </c>
      <c r="CR126" s="25">
        <f t="shared" si="149"/>
        <v>0</v>
      </c>
      <c r="CS126" s="25">
        <f t="shared" si="149"/>
        <v>0</v>
      </c>
      <c r="CT126" s="25">
        <f t="shared" si="149"/>
        <v>2457654</v>
      </c>
      <c r="CU126" s="25">
        <f t="shared" si="149"/>
        <v>0</v>
      </c>
      <c r="CV126" s="25">
        <f t="shared" si="149"/>
        <v>0</v>
      </c>
      <c r="CW126" s="25">
        <f t="shared" si="150"/>
        <v>0</v>
      </c>
      <c r="CX126" s="25">
        <f t="shared" si="150"/>
        <v>0</v>
      </c>
      <c r="CY126" s="25">
        <f t="shared" si="150"/>
        <v>0</v>
      </c>
      <c r="CZ126" s="25">
        <f t="shared" si="151"/>
        <v>0</v>
      </c>
      <c r="DA126" s="25">
        <f t="shared" si="151"/>
        <v>0</v>
      </c>
      <c r="DB126" s="25">
        <f t="shared" si="151"/>
        <v>0</v>
      </c>
      <c r="DC126" s="25">
        <f t="shared" si="152"/>
        <v>0</v>
      </c>
      <c r="DD126" s="25">
        <f t="shared" si="152"/>
        <v>0</v>
      </c>
      <c r="DE126" s="25">
        <f t="shared" si="152"/>
        <v>0</v>
      </c>
      <c r="DF126" s="25"/>
      <c r="DG126" s="25">
        <f t="shared" si="153"/>
        <v>0</v>
      </c>
      <c r="DH126" s="25">
        <f t="shared" si="153"/>
        <v>0</v>
      </c>
      <c r="DI126" s="25">
        <f t="shared" si="153"/>
        <v>0</v>
      </c>
    </row>
    <row r="127" spans="1:113" ht="47.25" customHeight="1" x14ac:dyDescent="0.25">
      <c r="A127" s="194"/>
      <c r="B127" s="90" t="s">
        <v>356</v>
      </c>
      <c r="C127" s="70" t="s">
        <v>357</v>
      </c>
      <c r="D127" s="22" t="s">
        <v>358</v>
      </c>
      <c r="E127" s="93">
        <v>310</v>
      </c>
      <c r="F127" s="24" t="s">
        <v>359</v>
      </c>
      <c r="G127" s="25">
        <f t="shared" si="131"/>
        <v>270168096</v>
      </c>
      <c r="H127" s="25"/>
      <c r="I127" s="25"/>
      <c r="J127" s="25"/>
      <c r="K127" s="25">
        <v>243168096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f>25000000+2000000</f>
        <v>27000000</v>
      </c>
      <c r="AB127" s="27">
        <f t="shared" si="104"/>
        <v>0.55439717426886703</v>
      </c>
      <c r="AC127" s="25">
        <f t="shared" si="132"/>
        <v>149780429</v>
      </c>
      <c r="AD127" s="25"/>
      <c r="AE127" s="25"/>
      <c r="AF127" s="25"/>
      <c r="AG127" s="25"/>
      <c r="AH127" s="25">
        <f>+'[6]JULIO 2016'!$O$477</f>
        <v>145193691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>
        <f>+'[1]AGOSTO 2016'!$AG$556</f>
        <v>4586738</v>
      </c>
      <c r="AX127" s="27">
        <f t="shared" si="106"/>
        <v>0.44560282573113297</v>
      </c>
      <c r="AY127" s="25">
        <f t="shared" si="133"/>
        <v>120387667</v>
      </c>
      <c r="AZ127" s="25">
        <f t="shared" si="145"/>
        <v>0</v>
      </c>
      <c r="BA127" s="25">
        <f t="shared" si="145"/>
        <v>0</v>
      </c>
      <c r="BB127" s="25">
        <f t="shared" si="145"/>
        <v>0</v>
      </c>
      <c r="BC127" s="25">
        <f t="shared" si="146"/>
        <v>97974405</v>
      </c>
      <c r="BD127" s="25">
        <f t="shared" si="146"/>
        <v>0</v>
      </c>
      <c r="BE127" s="25">
        <f t="shared" si="146"/>
        <v>0</v>
      </c>
      <c r="BF127" s="25">
        <f t="shared" si="146"/>
        <v>0</v>
      </c>
      <c r="BG127" s="25">
        <f t="shared" si="146"/>
        <v>0</v>
      </c>
      <c r="BH127" s="25">
        <f t="shared" si="146"/>
        <v>0</v>
      </c>
      <c r="BI127" s="25">
        <f t="shared" si="146"/>
        <v>0</v>
      </c>
      <c r="BJ127" s="25">
        <f t="shared" si="146"/>
        <v>0</v>
      </c>
      <c r="BK127" s="25">
        <f t="shared" si="146"/>
        <v>0</v>
      </c>
      <c r="BL127" s="25">
        <f t="shared" si="146"/>
        <v>0</v>
      </c>
      <c r="BM127" s="25">
        <f t="shared" si="146"/>
        <v>0</v>
      </c>
      <c r="BN127" s="25">
        <f t="shared" si="146"/>
        <v>0</v>
      </c>
      <c r="BO127" s="25"/>
      <c r="BP127" s="25"/>
      <c r="BQ127" s="25">
        <f t="shared" si="147"/>
        <v>0</v>
      </c>
      <c r="BR127" s="25">
        <f t="shared" si="148"/>
        <v>22413262</v>
      </c>
      <c r="BS127" s="27">
        <f t="shared" si="112"/>
        <v>0.30695890531796916</v>
      </c>
      <c r="BT127" s="25">
        <f t="shared" si="138"/>
        <v>82930503</v>
      </c>
      <c r="BU127" s="25"/>
      <c r="BV127" s="25"/>
      <c r="BW127" s="25"/>
      <c r="BX127" s="25"/>
      <c r="BY127" s="25">
        <f>'[1]AGOSTO 2016'!$H$554-CN127</f>
        <v>78343765</v>
      </c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>
        <f>'[1]AGOSTO 2016'!$AG$606+'[1]AGOSTO 2016'!$H$615+'[1]AGOSTO 2016'!$H$616</f>
        <v>4586738</v>
      </c>
      <c r="CO127" s="27">
        <f t="shared" si="114"/>
        <v>0.6930410946820309</v>
      </c>
      <c r="CP127" s="25">
        <f t="shared" si="139"/>
        <v>187237593</v>
      </c>
      <c r="CQ127" s="25">
        <f t="shared" si="149"/>
        <v>0</v>
      </c>
      <c r="CR127" s="25">
        <f t="shared" si="149"/>
        <v>0</v>
      </c>
      <c r="CS127" s="25">
        <f t="shared" si="149"/>
        <v>0</v>
      </c>
      <c r="CT127" s="25">
        <f t="shared" si="149"/>
        <v>164824331</v>
      </c>
      <c r="CU127" s="25">
        <f t="shared" si="149"/>
        <v>0</v>
      </c>
      <c r="CV127" s="25">
        <f t="shared" si="149"/>
        <v>0</v>
      </c>
      <c r="CW127" s="25">
        <f t="shared" si="150"/>
        <v>0</v>
      </c>
      <c r="CX127" s="25">
        <f t="shared" si="150"/>
        <v>0</v>
      </c>
      <c r="CY127" s="25">
        <f t="shared" si="150"/>
        <v>0</v>
      </c>
      <c r="CZ127" s="25">
        <f t="shared" si="151"/>
        <v>0</v>
      </c>
      <c r="DA127" s="25">
        <f t="shared" si="151"/>
        <v>0</v>
      </c>
      <c r="DB127" s="25">
        <f t="shared" si="151"/>
        <v>0</v>
      </c>
      <c r="DC127" s="25">
        <f t="shared" si="152"/>
        <v>0</v>
      </c>
      <c r="DD127" s="25">
        <f t="shared" si="152"/>
        <v>0</v>
      </c>
      <c r="DE127" s="25">
        <f t="shared" si="152"/>
        <v>0</v>
      </c>
      <c r="DF127" s="25"/>
      <c r="DG127" s="25">
        <f t="shared" si="153"/>
        <v>0</v>
      </c>
      <c r="DH127" s="25">
        <f t="shared" si="153"/>
        <v>0</v>
      </c>
      <c r="DI127" s="25">
        <f t="shared" si="153"/>
        <v>22413262</v>
      </c>
    </row>
    <row r="128" spans="1:113" s="47" customFormat="1" ht="18.75" customHeight="1" thickBot="1" x14ac:dyDescent="0.3">
      <c r="A128" s="98"/>
      <c r="B128" s="207" t="s">
        <v>360</v>
      </c>
      <c r="C128" s="208"/>
      <c r="D128" s="209"/>
      <c r="E128" s="99"/>
      <c r="F128" s="100"/>
      <c r="G128" s="63">
        <f t="shared" ref="G128:Z128" si="154">SUM(G109:G127)</f>
        <v>11761361275</v>
      </c>
      <c r="H128" s="63">
        <f t="shared" si="154"/>
        <v>0</v>
      </c>
      <c r="I128" s="63">
        <f t="shared" si="154"/>
        <v>6445738942</v>
      </c>
      <c r="J128" s="63">
        <f t="shared" si="154"/>
        <v>171003327</v>
      </c>
      <c r="K128" s="63">
        <f t="shared" si="154"/>
        <v>630168096</v>
      </c>
      <c r="L128" s="63">
        <f t="shared" si="154"/>
        <v>0</v>
      </c>
      <c r="M128" s="63">
        <f t="shared" si="154"/>
        <v>54387</v>
      </c>
      <c r="N128" s="63">
        <f t="shared" si="154"/>
        <v>30665828</v>
      </c>
      <c r="O128" s="63">
        <f t="shared" si="154"/>
        <v>1940856</v>
      </c>
      <c r="P128" s="63">
        <f t="shared" si="154"/>
        <v>3438802</v>
      </c>
      <c r="Q128" s="63">
        <f t="shared" si="154"/>
        <v>345941457</v>
      </c>
      <c r="R128" s="63">
        <f t="shared" si="154"/>
        <v>0</v>
      </c>
      <c r="S128" s="63">
        <f t="shared" si="154"/>
        <v>390000000</v>
      </c>
      <c r="T128" s="63">
        <f t="shared" si="154"/>
        <v>485000000</v>
      </c>
      <c r="U128" s="63">
        <f t="shared" si="154"/>
        <v>0</v>
      </c>
      <c r="V128" s="63">
        <f t="shared" si="154"/>
        <v>0</v>
      </c>
      <c r="W128" s="63">
        <f t="shared" si="154"/>
        <v>0</v>
      </c>
      <c r="X128" s="63">
        <f t="shared" si="154"/>
        <v>2700000000</v>
      </c>
      <c r="Y128" s="63">
        <f t="shared" si="154"/>
        <v>0</v>
      </c>
      <c r="Z128" s="63">
        <f t="shared" si="154"/>
        <v>557409580</v>
      </c>
      <c r="AB128" s="43">
        <f t="shared" si="104"/>
        <v>0.75334997053731778</v>
      </c>
      <c r="AC128" s="63">
        <f>SUM(AC109:AC127)</f>
        <v>8860421170</v>
      </c>
      <c r="AD128" s="63"/>
      <c r="AE128" s="63">
        <f t="shared" ref="AE128:AW128" si="155">SUM(AE109:AE127)</f>
        <v>0</v>
      </c>
      <c r="AF128" s="63">
        <f t="shared" si="155"/>
        <v>4566125044</v>
      </c>
      <c r="AG128" s="63">
        <f t="shared" si="155"/>
        <v>52484687</v>
      </c>
      <c r="AH128" s="63">
        <f t="shared" si="155"/>
        <v>521161691</v>
      </c>
      <c r="AI128" s="63">
        <f t="shared" si="155"/>
        <v>0</v>
      </c>
      <c r="AJ128" s="63">
        <f t="shared" si="155"/>
        <v>0</v>
      </c>
      <c r="AK128" s="63">
        <f t="shared" si="155"/>
        <v>0</v>
      </c>
      <c r="AL128" s="63">
        <f t="shared" si="155"/>
        <v>0</v>
      </c>
      <c r="AM128" s="63">
        <f t="shared" si="155"/>
        <v>0</v>
      </c>
      <c r="AN128" s="63">
        <f t="shared" si="155"/>
        <v>164856575</v>
      </c>
      <c r="AO128" s="63">
        <f t="shared" si="155"/>
        <v>0</v>
      </c>
      <c r="AP128" s="63">
        <f t="shared" si="155"/>
        <v>250000000</v>
      </c>
      <c r="AQ128" s="63">
        <f t="shared" si="155"/>
        <v>485000000</v>
      </c>
      <c r="AR128" s="63">
        <f t="shared" si="155"/>
        <v>0</v>
      </c>
      <c r="AS128" s="63">
        <f t="shared" si="155"/>
        <v>0</v>
      </c>
      <c r="AT128" s="63">
        <f t="shared" si="155"/>
        <v>0</v>
      </c>
      <c r="AU128" s="63">
        <f t="shared" si="155"/>
        <v>2700000000</v>
      </c>
      <c r="AV128" s="63">
        <f t="shared" si="155"/>
        <v>0</v>
      </c>
      <c r="AW128" s="63">
        <f t="shared" si="155"/>
        <v>120793173</v>
      </c>
      <c r="AX128" s="43">
        <f t="shared" si="106"/>
        <v>0.24665002946268222</v>
      </c>
      <c r="AY128" s="63">
        <f>SUM(AY109:AY127)</f>
        <v>2900940105</v>
      </c>
      <c r="AZ128" s="63">
        <f t="shared" ref="AZ128:BR128" si="156">SUM(AZ109:AZ127)</f>
        <v>0</v>
      </c>
      <c r="BA128" s="63">
        <f t="shared" si="156"/>
        <v>1879613898</v>
      </c>
      <c r="BB128" s="63">
        <f t="shared" si="156"/>
        <v>118518640</v>
      </c>
      <c r="BC128" s="63">
        <f t="shared" si="156"/>
        <v>109006405</v>
      </c>
      <c r="BD128" s="63">
        <f t="shared" si="156"/>
        <v>0</v>
      </c>
      <c r="BE128" s="63">
        <f t="shared" si="156"/>
        <v>54387</v>
      </c>
      <c r="BF128" s="63">
        <f t="shared" si="156"/>
        <v>30665828</v>
      </c>
      <c r="BG128" s="63">
        <f t="shared" si="156"/>
        <v>1940856</v>
      </c>
      <c r="BH128" s="63">
        <f t="shared" si="156"/>
        <v>3438802</v>
      </c>
      <c r="BI128" s="63">
        <f t="shared" si="156"/>
        <v>181084882</v>
      </c>
      <c r="BJ128" s="63">
        <f t="shared" si="156"/>
        <v>0</v>
      </c>
      <c r="BK128" s="63">
        <f t="shared" si="156"/>
        <v>140000000</v>
      </c>
      <c r="BL128" s="63">
        <f t="shared" si="156"/>
        <v>0</v>
      </c>
      <c r="BM128" s="63">
        <f t="shared" si="156"/>
        <v>0</v>
      </c>
      <c r="BN128" s="63">
        <f t="shared" si="156"/>
        <v>0</v>
      </c>
      <c r="BO128" s="63">
        <f t="shared" si="156"/>
        <v>0</v>
      </c>
      <c r="BP128" s="63">
        <f t="shared" si="156"/>
        <v>0</v>
      </c>
      <c r="BQ128" s="63">
        <f t="shared" si="156"/>
        <v>0</v>
      </c>
      <c r="BR128" s="63">
        <f t="shared" si="156"/>
        <v>436616407</v>
      </c>
      <c r="BS128" s="43">
        <f t="shared" si="112"/>
        <v>0.43907323584871344</v>
      </c>
      <c r="BT128" s="63">
        <f t="shared" ref="BT128:CJ128" si="157">SUM(BT109:BT127)</f>
        <v>5164098953</v>
      </c>
      <c r="BU128" s="63">
        <f t="shared" si="157"/>
        <v>0</v>
      </c>
      <c r="BV128" s="63">
        <f t="shared" si="157"/>
        <v>0</v>
      </c>
      <c r="BW128" s="63">
        <f t="shared" si="157"/>
        <v>3310469883</v>
      </c>
      <c r="BX128" s="63">
        <f t="shared" si="157"/>
        <v>45348340</v>
      </c>
      <c r="BY128" s="63">
        <f t="shared" si="157"/>
        <v>447464339</v>
      </c>
      <c r="BZ128" s="63">
        <f t="shared" si="157"/>
        <v>0</v>
      </c>
      <c r="CA128" s="63">
        <f t="shared" si="157"/>
        <v>0</v>
      </c>
      <c r="CB128" s="63">
        <f t="shared" si="157"/>
        <v>0</v>
      </c>
      <c r="CC128" s="63">
        <f t="shared" si="157"/>
        <v>0</v>
      </c>
      <c r="CD128" s="63">
        <f t="shared" si="157"/>
        <v>0</v>
      </c>
      <c r="CE128" s="63">
        <f t="shared" si="157"/>
        <v>94856575</v>
      </c>
      <c r="CF128" s="63">
        <f t="shared" si="157"/>
        <v>0</v>
      </c>
      <c r="CG128" s="63">
        <f t="shared" si="157"/>
        <v>249680327</v>
      </c>
      <c r="CH128" s="63">
        <f t="shared" si="157"/>
        <v>472748357</v>
      </c>
      <c r="CI128" s="63">
        <f t="shared" si="157"/>
        <v>0</v>
      </c>
      <c r="CJ128" s="63">
        <f t="shared" si="157"/>
        <v>0</v>
      </c>
      <c r="CK128" s="63"/>
      <c r="CL128" s="63">
        <f>SUM(CL109:CL127)</f>
        <v>429051059</v>
      </c>
      <c r="CM128" s="63">
        <f>SUM(CM109:CM127)</f>
        <v>0</v>
      </c>
      <c r="CN128" s="63">
        <f>SUM(CN109:CN127)</f>
        <v>114480073</v>
      </c>
      <c r="CO128" s="43">
        <f t="shared" si="114"/>
        <v>0.56092676415128651</v>
      </c>
      <c r="CP128" s="63">
        <f t="shared" ref="CP128:DI128" si="158">SUM(CP109:CP127)</f>
        <v>6597262322</v>
      </c>
      <c r="CQ128" s="63">
        <f t="shared" si="158"/>
        <v>0</v>
      </c>
      <c r="CR128" s="63">
        <f t="shared" si="158"/>
        <v>3135269059</v>
      </c>
      <c r="CS128" s="63">
        <f t="shared" si="158"/>
        <v>125654987</v>
      </c>
      <c r="CT128" s="63">
        <f t="shared" si="158"/>
        <v>182703757</v>
      </c>
      <c r="CU128" s="63">
        <f t="shared" si="158"/>
        <v>0</v>
      </c>
      <c r="CV128" s="63">
        <f t="shared" si="158"/>
        <v>54387</v>
      </c>
      <c r="CW128" s="63">
        <f t="shared" si="158"/>
        <v>30665828</v>
      </c>
      <c r="CX128" s="63">
        <f t="shared" si="158"/>
        <v>1940856</v>
      </c>
      <c r="CY128" s="63">
        <f t="shared" si="158"/>
        <v>3438802</v>
      </c>
      <c r="CZ128" s="63">
        <f t="shared" si="158"/>
        <v>251084882</v>
      </c>
      <c r="DA128" s="63">
        <f t="shared" si="158"/>
        <v>0</v>
      </c>
      <c r="DB128" s="63">
        <f t="shared" si="158"/>
        <v>140319673</v>
      </c>
      <c r="DC128" s="63">
        <f t="shared" si="158"/>
        <v>12251643</v>
      </c>
      <c r="DD128" s="63">
        <f t="shared" si="158"/>
        <v>0</v>
      </c>
      <c r="DE128" s="63">
        <f t="shared" si="158"/>
        <v>0</v>
      </c>
      <c r="DF128" s="63">
        <f t="shared" si="158"/>
        <v>0</v>
      </c>
      <c r="DG128" s="63">
        <f t="shared" si="158"/>
        <v>2270948941</v>
      </c>
      <c r="DH128" s="63">
        <f t="shared" si="158"/>
        <v>0</v>
      </c>
      <c r="DI128" s="63">
        <f t="shared" si="158"/>
        <v>442929507</v>
      </c>
    </row>
    <row r="129" spans="3:113" ht="5.25" customHeight="1" thickTop="1" x14ac:dyDescent="0.25">
      <c r="C129" s="101"/>
      <c r="D129" s="101"/>
      <c r="E129" s="101"/>
      <c r="F129" s="101"/>
      <c r="G129" s="102"/>
      <c r="H129" s="102"/>
      <c r="I129" s="103"/>
      <c r="J129" s="102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B129" s="105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105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105"/>
      <c r="BT129" s="106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105"/>
      <c r="CP129" s="51"/>
      <c r="CQ129" s="51"/>
      <c r="CR129" s="51"/>
      <c r="CS129" s="51"/>
      <c r="CT129" s="51"/>
      <c r="CU129" s="51"/>
      <c r="CV129" s="51"/>
      <c r="CW129" s="51"/>
      <c r="CX129" s="51"/>
      <c r="CY129" s="51"/>
      <c r="CZ129" s="51"/>
      <c r="DA129" s="51"/>
      <c r="DB129" s="51"/>
      <c r="DC129" s="51"/>
      <c r="DD129" s="51"/>
      <c r="DE129" s="51"/>
      <c r="DF129" s="51"/>
      <c r="DG129" s="51"/>
      <c r="DH129" s="51"/>
      <c r="DI129" s="51"/>
    </row>
    <row r="130" spans="3:113" ht="19.5" customHeight="1" x14ac:dyDescent="0.25">
      <c r="C130" s="210" t="s">
        <v>361</v>
      </c>
      <c r="D130" s="211"/>
      <c r="E130" s="212"/>
      <c r="F130" s="107"/>
      <c r="G130" s="51">
        <f t="shared" ref="G130:Z130" si="159">G20+G58+G91+G108+G128</f>
        <v>22714371004</v>
      </c>
      <c r="H130" s="51">
        <f t="shared" si="159"/>
        <v>200000000</v>
      </c>
      <c r="I130" s="51">
        <f t="shared" si="159"/>
        <v>8727003733</v>
      </c>
      <c r="J130" s="51">
        <f t="shared" si="159"/>
        <v>171003327</v>
      </c>
      <c r="K130" s="51">
        <f t="shared" si="159"/>
        <v>2601016897</v>
      </c>
      <c r="L130" s="51">
        <f t="shared" si="159"/>
        <v>138372986</v>
      </c>
      <c r="M130" s="51">
        <f t="shared" si="159"/>
        <v>54387</v>
      </c>
      <c r="N130" s="51">
        <f t="shared" si="159"/>
        <v>30665828</v>
      </c>
      <c r="O130" s="51">
        <f t="shared" si="159"/>
        <v>1940856</v>
      </c>
      <c r="P130" s="51">
        <f t="shared" si="159"/>
        <v>3438802</v>
      </c>
      <c r="Q130" s="51">
        <f t="shared" si="159"/>
        <v>345941457</v>
      </c>
      <c r="R130" s="51">
        <f t="shared" si="159"/>
        <v>2046332849</v>
      </c>
      <c r="S130" s="51">
        <f t="shared" si="159"/>
        <v>1142029623</v>
      </c>
      <c r="T130" s="51">
        <f t="shared" si="159"/>
        <v>486796640</v>
      </c>
      <c r="U130" s="51">
        <f t="shared" si="159"/>
        <v>1158018872</v>
      </c>
      <c r="V130" s="51">
        <f t="shared" si="159"/>
        <v>1262551657</v>
      </c>
      <c r="W130" s="51">
        <f t="shared" si="159"/>
        <v>51295383</v>
      </c>
      <c r="X130" s="51">
        <f t="shared" si="159"/>
        <v>2700000000</v>
      </c>
      <c r="Y130" s="51">
        <f t="shared" si="159"/>
        <v>204741836</v>
      </c>
      <c r="Z130" s="51">
        <f t="shared" si="159"/>
        <v>1443165871</v>
      </c>
      <c r="AB130" s="108">
        <f>+AC130/G130</f>
        <v>0.79680540107462272</v>
      </c>
      <c r="AC130" s="51">
        <f>AC20+AC58+AC91+AC108+AC128</f>
        <v>18098933498</v>
      </c>
      <c r="AD130" s="51"/>
      <c r="AE130" s="51">
        <f t="shared" ref="AE130:AW130" si="160">AE20+AE58+AE91+AE108+AE128</f>
        <v>200000000</v>
      </c>
      <c r="AF130" s="51">
        <f t="shared" si="160"/>
        <v>6455421194</v>
      </c>
      <c r="AG130" s="51">
        <f t="shared" si="160"/>
        <v>52484687</v>
      </c>
      <c r="AH130" s="51">
        <f t="shared" si="160"/>
        <v>2256942040</v>
      </c>
      <c r="AI130" s="51">
        <f t="shared" si="160"/>
        <v>106280280</v>
      </c>
      <c r="AJ130" s="51">
        <f t="shared" si="160"/>
        <v>0</v>
      </c>
      <c r="AK130" s="51">
        <f t="shared" si="160"/>
        <v>0</v>
      </c>
      <c r="AL130" s="51">
        <f t="shared" si="160"/>
        <v>0</v>
      </c>
      <c r="AM130" s="51">
        <f t="shared" si="160"/>
        <v>0</v>
      </c>
      <c r="AN130" s="51">
        <f t="shared" si="160"/>
        <v>164856575</v>
      </c>
      <c r="AO130" s="51">
        <f t="shared" si="160"/>
        <v>1950159311</v>
      </c>
      <c r="AP130" s="51">
        <f t="shared" si="160"/>
        <v>838849102</v>
      </c>
      <c r="AQ130" s="51">
        <f t="shared" si="160"/>
        <v>486796640</v>
      </c>
      <c r="AR130" s="51">
        <f t="shared" si="160"/>
        <v>879499391</v>
      </c>
      <c r="AS130" s="51">
        <f t="shared" si="160"/>
        <v>1011320055</v>
      </c>
      <c r="AT130" s="51">
        <f t="shared" si="160"/>
        <v>51295383</v>
      </c>
      <c r="AU130" s="51">
        <f t="shared" si="160"/>
        <v>2700000000</v>
      </c>
      <c r="AV130" s="51">
        <f t="shared" si="160"/>
        <v>114321836</v>
      </c>
      <c r="AW130" s="51">
        <f t="shared" si="160"/>
        <v>830707004</v>
      </c>
      <c r="AX130" s="109">
        <f>1-AB130</f>
        <v>0.20319459892537728</v>
      </c>
      <c r="AY130" s="51">
        <f t="shared" ref="AY130:BR130" si="161">AY20+AY58+AY91+AY108+AY128</f>
        <v>4615437506</v>
      </c>
      <c r="AZ130" s="51">
        <f t="shared" si="161"/>
        <v>0</v>
      </c>
      <c r="BA130" s="51">
        <f t="shared" si="161"/>
        <v>2271582539</v>
      </c>
      <c r="BB130" s="51">
        <f t="shared" si="161"/>
        <v>118518640</v>
      </c>
      <c r="BC130" s="51">
        <f t="shared" si="161"/>
        <v>344074857</v>
      </c>
      <c r="BD130" s="51">
        <f t="shared" si="161"/>
        <v>32092706</v>
      </c>
      <c r="BE130" s="51">
        <f t="shared" si="161"/>
        <v>54387</v>
      </c>
      <c r="BF130" s="51">
        <f t="shared" si="161"/>
        <v>30665828</v>
      </c>
      <c r="BG130" s="51">
        <f t="shared" si="161"/>
        <v>1940856</v>
      </c>
      <c r="BH130" s="51">
        <f t="shared" si="161"/>
        <v>3438802</v>
      </c>
      <c r="BI130" s="51">
        <f t="shared" si="161"/>
        <v>181084882</v>
      </c>
      <c r="BJ130" s="51">
        <f t="shared" si="161"/>
        <v>96173538</v>
      </c>
      <c r="BK130" s="51">
        <f t="shared" si="161"/>
        <v>303180521</v>
      </c>
      <c r="BL130" s="51">
        <f t="shared" si="161"/>
        <v>0</v>
      </c>
      <c r="BM130" s="51">
        <f t="shared" si="161"/>
        <v>278519481</v>
      </c>
      <c r="BN130" s="51">
        <f t="shared" si="161"/>
        <v>251231602</v>
      </c>
      <c r="BO130" s="51">
        <f t="shared" si="161"/>
        <v>0</v>
      </c>
      <c r="BP130" s="51">
        <f t="shared" si="161"/>
        <v>0</v>
      </c>
      <c r="BQ130" s="51">
        <f t="shared" si="161"/>
        <v>90420000</v>
      </c>
      <c r="BR130" s="51">
        <f t="shared" si="161"/>
        <v>612458867</v>
      </c>
      <c r="BS130" s="109">
        <f>+BT130/G130</f>
        <v>0.54619201398159922</v>
      </c>
      <c r="BT130" s="51">
        <f t="shared" ref="BT130:CN130" si="162">BT20+BT58+BT91+BT108+BT128</f>
        <v>12406408045</v>
      </c>
      <c r="BU130" s="51">
        <f t="shared" si="162"/>
        <v>0</v>
      </c>
      <c r="BV130" s="51">
        <f t="shared" si="162"/>
        <v>198408143</v>
      </c>
      <c r="BW130" s="51">
        <f t="shared" si="162"/>
        <v>4477466626</v>
      </c>
      <c r="BX130" s="51">
        <f t="shared" si="162"/>
        <v>45348340</v>
      </c>
      <c r="BY130" s="51">
        <f t="shared" si="162"/>
        <v>2020133184</v>
      </c>
      <c r="BZ130" s="51">
        <f t="shared" si="162"/>
        <v>98718903</v>
      </c>
      <c r="CA130" s="51">
        <f t="shared" si="162"/>
        <v>0</v>
      </c>
      <c r="CB130" s="51">
        <f t="shared" si="162"/>
        <v>0</v>
      </c>
      <c r="CC130" s="51">
        <f t="shared" si="162"/>
        <v>0</v>
      </c>
      <c r="CD130" s="51">
        <f t="shared" si="162"/>
        <v>0</v>
      </c>
      <c r="CE130" s="51">
        <f t="shared" si="162"/>
        <v>94856575</v>
      </c>
      <c r="CF130" s="51">
        <f t="shared" si="162"/>
        <v>1270822002</v>
      </c>
      <c r="CG130" s="51">
        <f t="shared" si="162"/>
        <v>801245279</v>
      </c>
      <c r="CH130" s="51">
        <f t="shared" si="162"/>
        <v>474544997</v>
      </c>
      <c r="CI130" s="51">
        <f t="shared" si="162"/>
        <v>813501862</v>
      </c>
      <c r="CJ130" s="51">
        <f t="shared" si="162"/>
        <v>925219270</v>
      </c>
      <c r="CK130" s="51">
        <f t="shared" si="162"/>
        <v>0</v>
      </c>
      <c r="CL130" s="51">
        <f t="shared" si="162"/>
        <v>429051059</v>
      </c>
      <c r="CM130" s="51">
        <f t="shared" si="162"/>
        <v>23350298</v>
      </c>
      <c r="CN130" s="51">
        <f t="shared" si="162"/>
        <v>733741507</v>
      </c>
      <c r="CO130" s="27">
        <f>1-BS130</f>
        <v>0.45380798601840078</v>
      </c>
      <c r="CP130" s="51">
        <f t="shared" ref="CP130:DI130" si="163">CP20+CP58+CP91+CP108+CP128</f>
        <v>10307962959</v>
      </c>
      <c r="CQ130" s="51">
        <f t="shared" si="163"/>
        <v>1591857</v>
      </c>
      <c r="CR130" s="51">
        <f t="shared" si="163"/>
        <v>4249537107</v>
      </c>
      <c r="CS130" s="51">
        <f t="shared" si="163"/>
        <v>125654987</v>
      </c>
      <c r="CT130" s="51">
        <f t="shared" si="163"/>
        <v>580883713</v>
      </c>
      <c r="CU130" s="51">
        <f t="shared" si="163"/>
        <v>39654083</v>
      </c>
      <c r="CV130" s="51">
        <f t="shared" si="163"/>
        <v>54387</v>
      </c>
      <c r="CW130" s="51">
        <f t="shared" si="163"/>
        <v>30665828</v>
      </c>
      <c r="CX130" s="51">
        <f t="shared" si="163"/>
        <v>1940856</v>
      </c>
      <c r="CY130" s="51">
        <f t="shared" si="163"/>
        <v>3438802</v>
      </c>
      <c r="CZ130" s="51">
        <f t="shared" si="163"/>
        <v>251084882</v>
      </c>
      <c r="DA130" s="51">
        <f t="shared" si="163"/>
        <v>775510847</v>
      </c>
      <c r="DB130" s="51">
        <f t="shared" si="163"/>
        <v>340784344</v>
      </c>
      <c r="DC130" s="51">
        <f t="shared" si="163"/>
        <v>12251643</v>
      </c>
      <c r="DD130" s="51">
        <f t="shared" si="163"/>
        <v>344517010</v>
      </c>
      <c r="DE130" s="51">
        <f t="shared" si="163"/>
        <v>337332387</v>
      </c>
      <c r="DF130" s="51">
        <f t="shared" si="163"/>
        <v>51295383</v>
      </c>
      <c r="DG130" s="51">
        <f t="shared" si="163"/>
        <v>2270948941</v>
      </c>
      <c r="DH130" s="51">
        <f t="shared" si="163"/>
        <v>181391538</v>
      </c>
      <c r="DI130" s="51">
        <f t="shared" si="163"/>
        <v>709424364</v>
      </c>
    </row>
    <row r="131" spans="3:113" ht="5.25" customHeight="1" x14ac:dyDescent="0.25">
      <c r="C131" s="110"/>
      <c r="D131" s="110"/>
      <c r="E131" s="111"/>
      <c r="F131" s="111"/>
      <c r="G131" s="112"/>
      <c r="H131" s="112"/>
      <c r="I131" s="113"/>
      <c r="J131" s="112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B131" s="115"/>
      <c r="AC131" s="116"/>
      <c r="AD131" s="116"/>
      <c r="AE131" s="116"/>
      <c r="AF131" s="116"/>
      <c r="AG131" s="116"/>
      <c r="AH131" s="114"/>
      <c r="AI131" s="114"/>
      <c r="AJ131" s="114"/>
      <c r="AK131" s="114"/>
      <c r="AL131" s="114"/>
      <c r="AM131" s="114"/>
      <c r="AN131" s="114"/>
      <c r="AO131" s="114"/>
      <c r="AP131" s="114"/>
      <c r="AQ131" s="114"/>
      <c r="AR131" s="114"/>
      <c r="AS131" s="114"/>
      <c r="AT131" s="114"/>
      <c r="AU131" s="114"/>
      <c r="AV131" s="114"/>
      <c r="AW131" s="114"/>
      <c r="AX131" s="115"/>
      <c r="AY131" s="116"/>
      <c r="AZ131" s="116"/>
      <c r="BA131" s="116"/>
      <c r="BB131" s="116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5"/>
      <c r="BT131" s="118"/>
      <c r="BU131" s="119"/>
      <c r="BV131" s="119"/>
      <c r="BW131" s="119"/>
      <c r="BX131" s="119"/>
      <c r="BY131" s="114"/>
      <c r="BZ131" s="114"/>
      <c r="CA131" s="114"/>
      <c r="CB131" s="114"/>
      <c r="CC131" s="114"/>
      <c r="CD131" s="114"/>
      <c r="CE131" s="114"/>
      <c r="CF131" s="114"/>
      <c r="CG131" s="114"/>
      <c r="CH131" s="114"/>
      <c r="CI131" s="114"/>
      <c r="CJ131" s="114"/>
      <c r="CK131" s="114"/>
      <c r="CL131" s="114"/>
      <c r="CM131" s="114"/>
      <c r="CN131" s="114"/>
      <c r="CO131" s="27"/>
      <c r="CP131" s="120"/>
      <c r="CQ131" s="116"/>
      <c r="CR131" s="116"/>
      <c r="CS131" s="116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</row>
    <row r="132" spans="3:113" ht="16.5" customHeight="1" x14ac:dyDescent="0.25">
      <c r="C132" s="121"/>
      <c r="D132" s="122" t="s">
        <v>362</v>
      </c>
      <c r="E132" s="115">
        <v>111</v>
      </c>
      <c r="F132" s="123"/>
      <c r="G132" s="124">
        <f>SUMIF($E$4:$E$127,"111",$G$4:$G$127)</f>
        <v>4089098901</v>
      </c>
      <c r="H132" s="125">
        <f>SUMIF($E$4:$E$128,"111",$H$4:$H$128)</f>
        <v>0</v>
      </c>
      <c r="I132" s="125">
        <f>SUMIF($E$4:$E$128,"111",$I$4:$I$128)</f>
        <v>3297003733</v>
      </c>
      <c r="J132" s="124">
        <f>SUMIF($E$4:$E$127,"111",$J$4:$J$127)</f>
        <v>171003327</v>
      </c>
      <c r="K132" s="123">
        <f>SUMIF($E$4:$E$128,"111",$K$4:$K$128)</f>
        <v>0</v>
      </c>
      <c r="L132" s="123">
        <f>SUMIF($E$4:$E$127,"111",$L$4:$L$127)</f>
        <v>0</v>
      </c>
      <c r="M132" s="123">
        <f>SUMIF($E$4:$E$127,"111",$M$4:$M$127)</f>
        <v>54387</v>
      </c>
      <c r="N132" s="123">
        <f>SUMIF($E$4:$E$127,"111",$N$4:$N$127)</f>
        <v>30665828</v>
      </c>
      <c r="O132" s="123">
        <f>SUMIF($E$4:$E$127,"111",$O$4:$O$127)</f>
        <v>1940856</v>
      </c>
      <c r="P132" s="123">
        <f>SUMIF($E$4:$E$127,"111",$P$4:$P$127)</f>
        <v>3438802</v>
      </c>
      <c r="Q132" s="123">
        <f>SUMIF($E$4:$E$127,"111",$Q$4:$Q$127)</f>
        <v>250509069</v>
      </c>
      <c r="R132" s="123">
        <f>SUMIF($E$4:$E$127,"111",$R$4:$R$127)</f>
        <v>0</v>
      </c>
      <c r="S132" s="123">
        <f>SUMIF($E$4:$E$127,"111",$S$4:$S$127)</f>
        <v>0</v>
      </c>
      <c r="T132" s="123">
        <f>SUMIF($E$4:$E$127,"111",$T$4:$T$127)</f>
        <v>0</v>
      </c>
      <c r="U132" s="123">
        <f>SUMIF($E$4:$E$127,"111",$U$4:$U$127)</f>
        <v>0</v>
      </c>
      <c r="V132" s="123">
        <f>SUMIF($E$4:$E$127,"111",$V$4:$V$127)</f>
        <v>0</v>
      </c>
      <c r="W132" s="123"/>
      <c r="X132" s="123">
        <f>SUMIF($E$4:$E$127,"111",$X$4:$X$127)</f>
        <v>0</v>
      </c>
      <c r="Y132" s="123">
        <f>SUMIF($E$4:$E$127,"111",$Y$4:$Y$127)</f>
        <v>0</v>
      </c>
      <c r="Z132" s="123">
        <f>SUMIF($E$4:$E$127,"111",$Z$4:$Z$127)</f>
        <v>334482899</v>
      </c>
      <c r="AB132" s="126">
        <f t="shared" ref="AB132:AB141" si="164">+AC132/G132</f>
        <v>0.60382971377781303</v>
      </c>
      <c r="AC132" s="30">
        <f t="shared" ref="AC132:AC138" si="165">SUM(AE132:AW132)</f>
        <v>2469119419</v>
      </c>
      <c r="AD132" s="124">
        <f>SUMIF($E$4:$E$127,"111",$AD$4:$AD$127)</f>
        <v>0</v>
      </c>
      <c r="AE132" s="124">
        <f>SUMIF($E$4:$E$127,"111",$AE$4:$AE$127)</f>
        <v>0</v>
      </c>
      <c r="AF132" s="124">
        <f>SUMIF($E$4:$E$127,"111",$AF$4:$AF$127)</f>
        <v>2322105290</v>
      </c>
      <c r="AG132" s="124">
        <f>SUMIF($E$4:$E$127,"111",$AG$4:$AG$127)</f>
        <v>52484687</v>
      </c>
      <c r="AH132" s="124">
        <f>SUMIF($E$4:$E$127,"111",$AH$4:$AH$127)</f>
        <v>0</v>
      </c>
      <c r="AI132" s="124">
        <f>SUMIF($E$4:$E$127,"111",$AI$4:$AI$127)</f>
        <v>0</v>
      </c>
      <c r="AJ132" s="124">
        <f>SUMIF($E$4:$E$127,"111",$AJ$4:$AJ$127)</f>
        <v>0</v>
      </c>
      <c r="AK132" s="124">
        <f>SUMIF($E$4:$E$127,"111",$AK$4:$AK$127)</f>
        <v>0</v>
      </c>
      <c r="AL132" s="124">
        <f>SUMIF($E$4:$E$127,"111",$AL$4:$AL$127)</f>
        <v>0</v>
      </c>
      <c r="AM132" s="124">
        <f>SUMIF($E$4:$E$127,"111",$AM$4:$AM$127)</f>
        <v>0</v>
      </c>
      <c r="AN132" s="124">
        <f>SUMIF($E$4:$E$127,"111",$AN$4:$AN$127)</f>
        <v>79856575</v>
      </c>
      <c r="AO132" s="124">
        <f>SUMIF($E$4:$E$127,"111",$AO$4:$AO$127)</f>
        <v>0</v>
      </c>
      <c r="AP132" s="124">
        <f>SUMIF($E$4:$E$127,"111",$AP$4:$AP$127)</f>
        <v>0</v>
      </c>
      <c r="AQ132" s="124">
        <f>SUMIF($E$4:$E$127,"111",$AQ$4:$AQ$127)</f>
        <v>0</v>
      </c>
      <c r="AR132" s="124">
        <f>SUMIF($E$4:$E$127,"111",$AR$4:$AR$127)</f>
        <v>0</v>
      </c>
      <c r="AS132" s="124">
        <f>SUMIF($E$4:$E$127,"111",$AR$4:$AR$127)</f>
        <v>0</v>
      </c>
      <c r="AT132" s="124">
        <f>SUMIF($E$4:$E$127,"111",$AT$4:$AT$127)</f>
        <v>0</v>
      </c>
      <c r="AU132" s="124">
        <f>SUMIF($E$4:$E$127,"111",$AU$4:$AU$127)</f>
        <v>0</v>
      </c>
      <c r="AV132" s="124">
        <f>SUMIF($E$4:$E$127,"111",$AV$4:$AV$127)</f>
        <v>0</v>
      </c>
      <c r="AW132" s="124">
        <f>SUMIF($E$4:$E$127,"111",$AW$4:$AW$127)</f>
        <v>14672867</v>
      </c>
      <c r="AX132" s="109">
        <f t="shared" ref="AX132:AX141" si="166">1-AB132</f>
        <v>0.39617028622218697</v>
      </c>
      <c r="AY132" s="30">
        <f t="shared" ref="AY132:AY138" si="167">SUM(AZ132:BR132)</f>
        <v>1619979482</v>
      </c>
      <c r="AZ132" s="127">
        <f>SUMIF($E$4:$E$127,"111",$AZ$4:$AZ$127)</f>
        <v>0</v>
      </c>
      <c r="BA132" s="127">
        <f>SUMIF($E$4:$E$127,"111",$BA$4:$BA$127)</f>
        <v>974898443</v>
      </c>
      <c r="BB132" s="127">
        <f>SUMIF($E$4:$E$127,"111",$BB$4:$BB$127)</f>
        <v>118518640</v>
      </c>
      <c r="BC132" s="127">
        <f>SUMIF($E$4:$E$127,"111",$BC$4:$BC$127)</f>
        <v>0</v>
      </c>
      <c r="BD132" s="127">
        <f>SUMIF($E$4:$E$127,"111",$BD$4:$BD$127)</f>
        <v>0</v>
      </c>
      <c r="BE132" s="127">
        <f>SUMIF($E$4:$E$127,"111",$BE$4:$BE$127)</f>
        <v>54387</v>
      </c>
      <c r="BF132" s="127">
        <f>SUMIF($E$4:$E$128,"111",$BF$4:$BF$128)</f>
        <v>30665828</v>
      </c>
      <c r="BG132" s="127">
        <f>SUMIF($E$4:$E$127,"111",$BG$4:$BG$127)</f>
        <v>1940856</v>
      </c>
      <c r="BH132" s="127">
        <f>SUMIF($E$4:$E$127,"111",$BH$4:$BH$127)</f>
        <v>3438802</v>
      </c>
      <c r="BI132" s="127">
        <f>SUMIF($E$4:$E$127,"111",$BI$4:$BI$127)</f>
        <v>170652494</v>
      </c>
      <c r="BJ132" s="127">
        <f>SUMIF($E$4:$E$127,"111",$BJ$4:$BJ$127)</f>
        <v>0</v>
      </c>
      <c r="BK132" s="127">
        <f>SUMIF($E$4:$E$127,"111",$BK$4:$BK$127)</f>
        <v>0</v>
      </c>
      <c r="BL132" s="127">
        <f>SUMIF($E$4:$E$127,"111",$BL$4:$BL$127)</f>
        <v>0</v>
      </c>
      <c r="BM132" s="127">
        <f>SUMIF($E$4:$E$127,"111",$BM$4:$BM$127)</f>
        <v>0</v>
      </c>
      <c r="BN132" s="127">
        <f>SUMIF($E$4:$E$127,"111",$BN$4:$BN$127)</f>
        <v>0</v>
      </c>
      <c r="BO132" s="127"/>
      <c r="BP132" s="127">
        <f>SUMIF($E$4:$E$127,"111",$BP$4:$BP$127)</f>
        <v>0</v>
      </c>
      <c r="BQ132" s="127">
        <f>SUMIF($E$4:$E$127,"111",$BQ$4:$BQ$127)</f>
        <v>0</v>
      </c>
      <c r="BR132" s="128">
        <f>SUMIF($E$4:$E$127,"111",$BR$4:$BR$127)</f>
        <v>319810032</v>
      </c>
      <c r="BS132" s="129">
        <f t="shared" ref="BS132:BS141" si="168">+BT132/G132</f>
        <v>0.5146211598074526</v>
      </c>
      <c r="BT132" s="36">
        <f t="shared" ref="BT132:BT137" si="169">SUM(BV132:CN132)</f>
        <v>2104336819</v>
      </c>
      <c r="BU132" s="124">
        <f>SUMIF($E$4:$E$127,"111",$BU$4:$BU$127)</f>
        <v>0</v>
      </c>
      <c r="BV132" s="124">
        <f>SUMIF($E$4:$E$127,"111",$BV$4:$BV$127)</f>
        <v>0</v>
      </c>
      <c r="BW132" s="124">
        <f>SUMIF($E$4:$E$127,"111",$BW$4:$BW$127)</f>
        <v>1964459137</v>
      </c>
      <c r="BX132" s="124">
        <f>SUMIF($E$4:$E$127,"111",$BX$4:$BX$127)</f>
        <v>45348340</v>
      </c>
      <c r="BY132" s="124">
        <f>SUMIF($E$4:$E$127,"111",$BY$4:$BY$127)</f>
        <v>0</v>
      </c>
      <c r="BZ132" s="124">
        <f>SUMIF($E$4:$E$127,"111",$BZ$4:$BZ$127)</f>
        <v>0</v>
      </c>
      <c r="CA132" s="124">
        <f>SUMIF($E$4:$E$127,"111",$CA$4:$CA$127)</f>
        <v>0</v>
      </c>
      <c r="CB132" s="124">
        <f>SUMIF($E$4:$E$127,"111",$CB$4:$CB$127)</f>
        <v>0</v>
      </c>
      <c r="CC132" s="124">
        <f>SUMIF($E$4:$E$127,"111",$CC$4:$CC$127)</f>
        <v>0</v>
      </c>
      <c r="CD132" s="124">
        <f>SUMIF($E$4:$E$127,"111",$CD$4:$CD$127)</f>
        <v>0</v>
      </c>
      <c r="CE132" s="124">
        <f>SUMIF($E$4:$E$127,"111",$CE$4:$CE$127)</f>
        <v>79856575</v>
      </c>
      <c r="CF132" s="124">
        <f>SUMIF($E$4:$E$127,"111",$CF$4:$CF$127)</f>
        <v>0</v>
      </c>
      <c r="CG132" s="124">
        <f>SUMIF($E$4:$E$127,"111",$CG$4:$CG$127)</f>
        <v>0</v>
      </c>
      <c r="CH132" s="124">
        <f>SUMIF($E$4:$E$127,"111",$CH$4:$CH$127)</f>
        <v>0</v>
      </c>
      <c r="CI132" s="124">
        <f>SUMIF($E$4:$E$127,"111",$CI$4:$CI$127)</f>
        <v>0</v>
      </c>
      <c r="CJ132" s="124">
        <f>SUMIF($E$4:$E$127,"111",$CJ$4:$CJ$127)</f>
        <v>0</v>
      </c>
      <c r="CK132" s="124">
        <f>SUMIF($E$4:$E$127,"111",$CK$4:$CK$127)</f>
        <v>0</v>
      </c>
      <c r="CL132" s="124">
        <f>SUMIF($E$4:$E$127,"111",$CL$4:$CL$127)</f>
        <v>0</v>
      </c>
      <c r="CM132" s="124">
        <f>SUMIF($E$4:$E$127,"111",$CM$4:$CM$127)</f>
        <v>0</v>
      </c>
      <c r="CN132" s="130">
        <f>SUMIF($E$4:$E$127,"111",$CN$4:$CN$127)</f>
        <v>14672767</v>
      </c>
      <c r="CO132" s="27">
        <f t="shared" ref="CO132:CO141" si="170">1-BS132</f>
        <v>0.4853788401925474</v>
      </c>
      <c r="CP132" s="30">
        <f t="shared" ref="CP132:CP138" si="171">SUM(CQ132:DI132)</f>
        <v>1984762082</v>
      </c>
      <c r="CQ132" s="127">
        <f>SUMIF($E$4:$E$127,"111",$CQ$4:$CQ$127)</f>
        <v>0</v>
      </c>
      <c r="CR132" s="127">
        <f>SUMIF($E$4:$E$127,"111",$CR$4:$CR$127)</f>
        <v>1332544596</v>
      </c>
      <c r="CS132" s="127">
        <f>SUMIF($E$4:$E$127,"111",$CS$4:$CS$127)</f>
        <v>125654987</v>
      </c>
      <c r="CT132" s="127">
        <f>SUMIF($E$4:$E$127,"111",$CT$4:$CT$127)</f>
        <v>0</v>
      </c>
      <c r="CU132" s="127">
        <f>SUMIF($E$4:$E$127,"111",$CU$4:$CU$127)</f>
        <v>0</v>
      </c>
      <c r="CV132" s="127">
        <f>SUMIF($E$4:$E$127,"111",$CV$4:$CV$127)</f>
        <v>54387</v>
      </c>
      <c r="CW132" s="131">
        <f>SUMIF($E$4:$E$127,"111",$CW$4:$CW$127)</f>
        <v>30665828</v>
      </c>
      <c r="CX132" s="131">
        <f>SUMIF($E$4:$E$127,"111",$CX$4:$CX$127)</f>
        <v>1940856</v>
      </c>
      <c r="CY132" s="131">
        <f>SUMIF($E$4:$E$127,"111",$CY$4:$CY$127)</f>
        <v>3438802</v>
      </c>
      <c r="CZ132" s="131">
        <f>SUMIF($E$4:$E$127,"111",$CZ$4:$CZ$127)</f>
        <v>170652494</v>
      </c>
      <c r="DA132" s="131">
        <f>SUMIF($E$4:$E$127,"111",$DA$4:$DA$127)</f>
        <v>0</v>
      </c>
      <c r="DB132" s="131">
        <f>SUMIF($E$4:$E$127,"111",$DB$4:$DB$127)</f>
        <v>0</v>
      </c>
      <c r="DC132" s="131">
        <f>SUMIF($E$4:$E$127,"111",$DC$4:$DC$127)</f>
        <v>0</v>
      </c>
      <c r="DD132" s="131">
        <f>SUMIF($E$4:$E$127,"111",$DD$4:$DD$127)</f>
        <v>0</v>
      </c>
      <c r="DE132" s="131">
        <f>SUMIF($E$4:$E$127,"111",$DE$4:$DE$127)</f>
        <v>0</v>
      </c>
      <c r="DF132" s="131">
        <f>SUMIF($E$4:$E$127,"111",$DF$4:$DF$127)</f>
        <v>0</v>
      </c>
      <c r="DG132" s="131">
        <f>SUMIF($E$4:$E$127,"111",$DG$4:$DG$127)</f>
        <v>0</v>
      </c>
      <c r="DH132" s="131">
        <f>SUMIF($E$4:$E$127,"111",$DH$4:$DH$127)</f>
        <v>0</v>
      </c>
      <c r="DI132" s="131">
        <f>SUMIF($E$4:$E$127,"111",$DI$4:$DI$127)</f>
        <v>319810132</v>
      </c>
    </row>
    <row r="133" spans="3:113" ht="18" customHeight="1" x14ac:dyDescent="0.25">
      <c r="C133" s="132"/>
      <c r="D133" s="122" t="s">
        <v>363</v>
      </c>
      <c r="E133" s="115">
        <v>211</v>
      </c>
      <c r="F133" s="123"/>
      <c r="G133" s="124">
        <f>SUMIF($E$4:$E$127,"211",$G$4:$G$127)</f>
        <v>3820094278</v>
      </c>
      <c r="H133" s="125">
        <f>SUMIF($E$4:$E$128,"211",$H$4:$H$128)</f>
        <v>0</v>
      </c>
      <c r="I133" s="125">
        <f>SUMIF($E$4:$E$128,"211",$I$4:$I$128)</f>
        <v>3148735209</v>
      </c>
      <c r="J133" s="124">
        <f>SUMIF($E$4:$E$127,"211",$J$4:$J$127)</f>
        <v>0</v>
      </c>
      <c r="K133" s="123">
        <f>SUMIF($E$4:$E$127,"211",$K$4:$K$127)</f>
        <v>0</v>
      </c>
      <c r="L133" s="123">
        <f>SUMIF($E$4:$E$127,"211",$L$4:$L$127)</f>
        <v>0</v>
      </c>
      <c r="M133" s="123">
        <f>SUMIF($E$4:$E$127,"211",$M$4:$M$127)</f>
        <v>0</v>
      </c>
      <c r="N133" s="123">
        <f>SUMIF($E$4:$E$127,"211",$N$4:$N$127)</f>
        <v>0</v>
      </c>
      <c r="O133" s="123">
        <f>SUMIF($E$4:$E$127,"211",$O$4:$O$127)</f>
        <v>0</v>
      </c>
      <c r="P133" s="123">
        <f>SUMIF($E$4:$E$127,"211",$P$4:$P$127)</f>
        <v>0</v>
      </c>
      <c r="Q133" s="123">
        <f>SUMIF($E$4:$E$127,"211",$Q$4:$Q$127)</f>
        <v>95432388</v>
      </c>
      <c r="R133" s="123">
        <f>SUMIF($E$4:$E$127,"211",$R$4:$R$127)</f>
        <v>0</v>
      </c>
      <c r="S133" s="123">
        <f>SUMIF($E$4:$E$127,"211",$S$4:$S$127)</f>
        <v>380000000</v>
      </c>
      <c r="T133" s="123">
        <f>SUMIF($E$4:$E$127,"211",$T$4:$T$127)</f>
        <v>0</v>
      </c>
      <c r="U133" s="123">
        <f>SUMIF($E$4:$E$127,"211",$U$4:$U$127)</f>
        <v>0</v>
      </c>
      <c r="V133" s="123">
        <f>SUMIF($E$4:$E$127,"211",$V$4:$V$127)</f>
        <v>0</v>
      </c>
      <c r="W133" s="123"/>
      <c r="X133" s="123">
        <f>SUMIF($E$4:$E$127,"211",$X$4:$X$127)</f>
        <v>0</v>
      </c>
      <c r="Y133" s="123">
        <f>SUMIF($E$4:$E$127,"211",$Y$4:$Y$127)</f>
        <v>0</v>
      </c>
      <c r="Z133" s="123">
        <f>SUMIF($E$4:$E$127,"211",$Z$4:$Z$127)</f>
        <v>195926681</v>
      </c>
      <c r="AB133" s="126">
        <f t="shared" si="164"/>
        <v>0.70169821133403976</v>
      </c>
      <c r="AC133" s="30">
        <f t="shared" si="165"/>
        <v>2680553322</v>
      </c>
      <c r="AD133" s="124">
        <f>SUMIF($E$4:$E$127,"211",$AD$4:$AD$127)</f>
        <v>0</v>
      </c>
      <c r="AE133" s="124">
        <f>SUMIF($E$4:$E$127,"211",$AE$4:$AE$127)</f>
        <v>0</v>
      </c>
      <c r="AF133" s="124">
        <f>SUMIF($E$4:$E$127,"211",$AF$4:$AF$127)</f>
        <v>2244019754</v>
      </c>
      <c r="AG133" s="124">
        <f>SUMIF($E$4:$E$127,"211",$AG$4:$AG$127)</f>
        <v>0</v>
      </c>
      <c r="AH133" s="124">
        <f>SUMIF($E$4:$E$127,"211",$AH$4:$AH$127)</f>
        <v>0</v>
      </c>
      <c r="AI133" s="124">
        <f>SUMIF($E$4:$E$127,"211",$AI$4:$AI$127)</f>
        <v>0</v>
      </c>
      <c r="AJ133" s="124">
        <f>SUMIF($E$4:$E$127,"211",$AJ$4:$AJ$127)</f>
        <v>0</v>
      </c>
      <c r="AK133" s="124">
        <f>SUMIF($E$4:$E$127,"211",$AK$4:$AK$127)</f>
        <v>0</v>
      </c>
      <c r="AL133" s="124">
        <f>SUMIF($E$4:$E$127,"211",$AL$4:$AL$127)</f>
        <v>0</v>
      </c>
      <c r="AM133" s="124">
        <f>SUMIF($E$4:$E$127,"211",$AM$4:$AM$127)</f>
        <v>0</v>
      </c>
      <c r="AN133" s="124">
        <f>SUMIF($E$4:$E$127,"211",$AN$4:$AN$127)</f>
        <v>85000000</v>
      </c>
      <c r="AO133" s="124">
        <f>SUMIF($E$4:$E$127,"211",$AO$4:$AO$127)</f>
        <v>0</v>
      </c>
      <c r="AP133" s="124">
        <f>SUMIF($E$4:$E$127,"211",$AP$4:$AP$127)</f>
        <v>250000000</v>
      </c>
      <c r="AQ133" s="124">
        <f>SUMIF($E$4:$E$127,"211",$AQ$4:$AQ$127)</f>
        <v>0</v>
      </c>
      <c r="AR133" s="124">
        <f>SUMIF($E$4:$E$127,"211",$AR$4:$AR$127)</f>
        <v>0</v>
      </c>
      <c r="AS133" s="124">
        <f>SUMIF($E$4:$E$127,"211",$AS$4:$AS$127)</f>
        <v>0</v>
      </c>
      <c r="AT133" s="124">
        <f>SUMIF($E$4:$E$127,"211",$AT$4:$AT$127)</f>
        <v>0</v>
      </c>
      <c r="AU133" s="124">
        <f>SUMIF($E$4:$E$127,"211",$AU$4:$AU$127)</f>
        <v>0</v>
      </c>
      <c r="AV133" s="124">
        <f>SUMIF($E$4:$E$127,"211",$AV$4:$AV$127)</f>
        <v>0</v>
      </c>
      <c r="AW133" s="124">
        <f>SUMIF($E$4:$E$127,"211",$AW$4:$AW$127)</f>
        <v>101533568</v>
      </c>
      <c r="AX133" s="109">
        <f t="shared" si="166"/>
        <v>0.29830178866596024</v>
      </c>
      <c r="AY133" s="30">
        <f t="shared" si="167"/>
        <v>1139540956</v>
      </c>
      <c r="AZ133" s="127">
        <f>SUMIF($E$4:$E$127,"211",$AZ$4:$AZ$127)</f>
        <v>0</v>
      </c>
      <c r="BA133" s="127">
        <f>SUMIF($E$4:$E$127,"211",$BA$4:$BA$127)</f>
        <v>904715455</v>
      </c>
      <c r="BB133" s="127">
        <f>SUMIF($E$4:$E$127,"211",$BB$4:$BB$127)</f>
        <v>0</v>
      </c>
      <c r="BC133" s="127">
        <f>SUMIF($E$4:$E$127,"211",$BC$4:$BC$127)</f>
        <v>0</v>
      </c>
      <c r="BD133" s="127">
        <f>SUMIF($E$4:$E$127,"211",$BD$4:$BD$127)</f>
        <v>0</v>
      </c>
      <c r="BE133" s="127">
        <f>SUMIF($E$4:$E$127,"211",$BE$4:$BE$127)</f>
        <v>0</v>
      </c>
      <c r="BF133" s="127">
        <f>SUMIF($E$4:$E$127,"211",$BF$4:$BF$127)</f>
        <v>0</v>
      </c>
      <c r="BG133" s="127">
        <f>SUMIF($E$4:$E$127,"211",$BG$4:$BG$127)</f>
        <v>0</v>
      </c>
      <c r="BH133" s="127">
        <f>SUMIF($E$4:$E$127,"211",$BH$4:$BH$127)</f>
        <v>0</v>
      </c>
      <c r="BI133" s="127">
        <f>SUMIF($E$4:$E$127,"211",$BI$4:$BI$127)</f>
        <v>10432388</v>
      </c>
      <c r="BJ133" s="127">
        <f>SUMIF($E$4:$E$127,"211",$BJ$4:$BJ$127)</f>
        <v>0</v>
      </c>
      <c r="BK133" s="127">
        <f>SUMIF($E$4:$E$127,"211",$BK$4:$BK$127)</f>
        <v>130000000</v>
      </c>
      <c r="BL133" s="127">
        <f>SUMIF($E$4:$E$127,"211",$BL$4:$BL$127)</f>
        <v>0</v>
      </c>
      <c r="BM133" s="127">
        <f>SUMIF($E$4:$E$127,"211",$BM$4:$BM$127)</f>
        <v>0</v>
      </c>
      <c r="BN133" s="127">
        <f>SUMIF($E$4:$E$127,"211",$BN$4:$BN$127)</f>
        <v>0</v>
      </c>
      <c r="BO133" s="127"/>
      <c r="BP133" s="127">
        <f>SUMIF($E$4:$E$127,"211",$BP$4:$BP$127)</f>
        <v>0</v>
      </c>
      <c r="BQ133" s="127">
        <f>SUMIF($E$4:$E$127,"211",$BQ$4:$BQ$127)</f>
        <v>0</v>
      </c>
      <c r="BR133" s="128">
        <f>SUMIF($E$4:$E$127,"211",$BR$4:$BR$127)</f>
        <v>94393113</v>
      </c>
      <c r="BS133" s="129">
        <f t="shared" si="168"/>
        <v>0.44656270679610699</v>
      </c>
      <c r="BT133" s="36">
        <f t="shared" si="169"/>
        <v>1705911641</v>
      </c>
      <c r="BU133" s="124">
        <f>SUMIF($E$4:$E$127,"211",$BU$4:$BU$127)</f>
        <v>0</v>
      </c>
      <c r="BV133" s="124">
        <f>SUMIF($E$4:$E$127,"211",$BV$4:$BV$127)</f>
        <v>0</v>
      </c>
      <c r="BW133" s="124">
        <f>SUMIF($E$4:$E$127,"211",$BW$4:$BW$127)</f>
        <v>1346010746</v>
      </c>
      <c r="BX133" s="124">
        <f>SUMIF($E$4:$E$127,"211",$BX$4:$BX$127)</f>
        <v>0</v>
      </c>
      <c r="BY133" s="124">
        <f>SUMIF($E$4:$E$127,"211",$BY$4:$BY$127)</f>
        <v>0</v>
      </c>
      <c r="BZ133" s="124">
        <f>SUMIF($E$4:$E$127,"211",$BZ$4:$BZ$127)</f>
        <v>0</v>
      </c>
      <c r="CA133" s="124">
        <f>SUMIF($E$4:$E$127,"211",$CA$4:$CA$127)</f>
        <v>0</v>
      </c>
      <c r="CB133" s="124">
        <f>SUMIF($E$4:$E$127,"211",$CB$4:$CB$127)</f>
        <v>0</v>
      </c>
      <c r="CC133" s="124">
        <f>SUMIF($E$4:$E$127,"211",$CC$4:$CC$127)</f>
        <v>0</v>
      </c>
      <c r="CD133" s="124">
        <f>SUMIF($E$4:$E$127,"211",$CD$4:$CD$127)</f>
        <v>0</v>
      </c>
      <c r="CE133" s="124">
        <f>SUMIF($E$4:$E$127,"211",$CE$4:$CE$127)</f>
        <v>15000000</v>
      </c>
      <c r="CF133" s="124">
        <f>SUMIF($E$4:$E$127,"211",$CF$4:$CF$127)</f>
        <v>0</v>
      </c>
      <c r="CG133" s="124">
        <f>SUMIF($E$4:$E$127,"211",$CG$4:$CG$127)</f>
        <v>249680327</v>
      </c>
      <c r="CH133" s="124">
        <f>SUMIF($E$4:$E$127,"211",$CH$4:$CH$127)</f>
        <v>0</v>
      </c>
      <c r="CI133" s="124">
        <f>SUMIF($E$4:$E$127,"211",$CI$4:$CI$127)</f>
        <v>0</v>
      </c>
      <c r="CJ133" s="124">
        <f>SUMIF($E$4:$E$127,"211",$CJ$4:$CJ$127)</f>
        <v>0</v>
      </c>
      <c r="CK133" s="124">
        <f>SUMIF($E$4:$E$127,"211",$CK$4:$CK$127)</f>
        <v>0</v>
      </c>
      <c r="CL133" s="124">
        <f>SUMIF($E$4:$E$127,"211",$CL$4:$CL$127)</f>
        <v>0</v>
      </c>
      <c r="CM133" s="124">
        <f>SUMIF($E$4:$E$127,"211",$CM$4:$CM$127)</f>
        <v>0</v>
      </c>
      <c r="CN133" s="130">
        <f>SUMIF($E$4:$E$127,"211",$CN$4:$CN$127)</f>
        <v>95220568</v>
      </c>
      <c r="CO133" s="27">
        <f t="shared" si="170"/>
        <v>0.55343729320389301</v>
      </c>
      <c r="CP133" s="30">
        <f t="shared" ca="1" si="171"/>
        <v>2114182637</v>
      </c>
      <c r="CQ133" s="127">
        <f ca="1">SUMIF($E$4:$E$128,"211",$CQ$4:$CQ$127)</f>
        <v>0</v>
      </c>
      <c r="CR133" s="127">
        <f>SUMIF($E$4:$E$127,"211",$CR$4:$CR$127)</f>
        <v>1802724463</v>
      </c>
      <c r="CS133" s="127">
        <f>SUMIF($E$4:$E$127,"211",$CS$4:$CS$127)</f>
        <v>0</v>
      </c>
      <c r="CT133" s="127">
        <f>SUMIF($E$4:$E$127,"211",$CT$4:$CT$127)</f>
        <v>0</v>
      </c>
      <c r="CU133" s="127">
        <f>SUMIF($E$4:$E$127,"211",$CU$4:$CU$127)</f>
        <v>0</v>
      </c>
      <c r="CV133" s="127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1">
        <f>SUMIF($E$4:$E$127,"211",$CZ$4:$CZ$127)</f>
        <v>80432388</v>
      </c>
      <c r="DA133" s="131">
        <f>SUMIF($E$4:$E$127,"211",$DA$4:$DA$127)</f>
        <v>0</v>
      </c>
      <c r="DB133" s="131">
        <f>SUMIF($E$4:$E$127,"211",$DB$4:$DB$127)</f>
        <v>130319673</v>
      </c>
      <c r="DC133" s="131">
        <f>SUMIF($E$4:$E$127,"211",$DC$4:$DC$127)</f>
        <v>0</v>
      </c>
      <c r="DD133" s="131">
        <f>SUMIF($E$4:$E$127,"211",$DD$4:$DD$127)</f>
        <v>0</v>
      </c>
      <c r="DE133" s="131">
        <f>SUMIF($E$4:$E$127,"211",$DE$4:$DE$127)</f>
        <v>0</v>
      </c>
      <c r="DF133" s="131">
        <f>SUMIF($E$4:$E$127,"211",$DF$4:$DF$127)</f>
        <v>0</v>
      </c>
      <c r="DG133" s="131">
        <f>SUMIF($E$4:$E$127,"211",$DG$4:$DG$127)</f>
        <v>0</v>
      </c>
      <c r="DH133" s="131">
        <f>SUMIF($E$4:$E$127,"211",$DH$4:$DH$127)</f>
        <v>0</v>
      </c>
      <c r="DI133" s="131">
        <f>SUMIF($E$4:$E$127,"211",$DI$4:$DI$127)</f>
        <v>100706113</v>
      </c>
    </row>
    <row r="134" spans="3:113" ht="16.5" customHeight="1" x14ac:dyDescent="0.25">
      <c r="C134" s="132"/>
      <c r="D134" s="122" t="s">
        <v>364</v>
      </c>
      <c r="E134" s="115">
        <v>310</v>
      </c>
      <c r="F134" s="123"/>
      <c r="G134" s="124">
        <f>SUMIF($E$4:$E$127,"310",$G$4:$G$128)</f>
        <v>1084368096</v>
      </c>
      <c r="H134" s="125">
        <f>SUMIF($E$4:$E$127,"310",$H$4:$H$127)</f>
        <v>0</v>
      </c>
      <c r="I134" s="125">
        <f>SUMIF($E$4:$E$127,"310",$I$4:$I$127)</f>
        <v>450000000</v>
      </c>
      <c r="J134" s="124">
        <f>SUMIF($E$4:$E$127,"310",$J$4:$J$127)</f>
        <v>0</v>
      </c>
      <c r="K134" s="123">
        <f>SUMIF($E$4:$E$127,"310",$K$4:$K$127)</f>
        <v>557368096</v>
      </c>
      <c r="L134" s="123">
        <f>SUMIF($E$4:$E$127,"310",$L$4:$L$127)</f>
        <v>0</v>
      </c>
      <c r="M134" s="123">
        <f>SUMIF($E$4:$E$127,"310",$M$4:$M$127)</f>
        <v>0</v>
      </c>
      <c r="N134" s="123">
        <f>SUMIF($E$4:$E$127,"310",$N$4:$N$127)</f>
        <v>0</v>
      </c>
      <c r="O134" s="123">
        <f>SUMIF($E$4:$E$127,"310",$O$4:$O$127)</f>
        <v>0</v>
      </c>
      <c r="P134" s="123">
        <f>SUMIF($E$4:$E$127,"310",$P$4:$P$127)</f>
        <v>0</v>
      </c>
      <c r="Q134" s="123">
        <f>SUMIF($E$4:$E$127,"310",$Q$4:$Q$127)</f>
        <v>0</v>
      </c>
      <c r="R134" s="123">
        <f>SUMIF($E$4:$E$127,"310",$R$4:$R$127)</f>
        <v>0</v>
      </c>
      <c r="S134" s="123">
        <f>SUMIF($E$4:$E$127,"310",$S$4:$S$127)</f>
        <v>0</v>
      </c>
      <c r="T134" s="123">
        <f>SUMIF($E$4:$E$127,"310",$T$4:$T$127)</f>
        <v>0</v>
      </c>
      <c r="U134" s="123">
        <f>SUMIF($E$4:$E$127,"310",$U$4:$U$127)</f>
        <v>0</v>
      </c>
      <c r="V134" s="123">
        <f>SUMIF($E$4:$E$119,"310",$V$4:$V$119)</f>
        <v>0</v>
      </c>
      <c r="W134" s="123"/>
      <c r="X134" s="123">
        <f>SUMIF($E$4:$E$127,"310",$X$4:$X$127)</f>
        <v>0</v>
      </c>
      <c r="Y134" s="123">
        <f>SUMIF($E$4:$E$127,"310",$Y$4:$Y$127)</f>
        <v>0</v>
      </c>
      <c r="Z134" s="123">
        <f>SUMIF($E$4:$E$127,"310",$Z$4:$Z$127)</f>
        <v>77000000</v>
      </c>
      <c r="AB134" s="126">
        <f t="shared" si="164"/>
        <v>0.51814165878963669</v>
      </c>
      <c r="AC134" s="36">
        <f t="shared" si="165"/>
        <v>561856284</v>
      </c>
      <c r="AD134" s="124">
        <f>SUMIF($E$4:$E$127,"310",$AD$4:$AD$127)</f>
        <v>0</v>
      </c>
      <c r="AE134" s="124">
        <f>SUMIF($E$4:$E$127,"310",$AE$4:$AE$127)</f>
        <v>0</v>
      </c>
      <c r="AF134" s="124">
        <f>SUMIF($E$4:$E$127,"310",$AF$4:$AF$127)</f>
        <v>75171597</v>
      </c>
      <c r="AG134" s="124">
        <f>SUMIF($E$4:$E$127,"310",$AG$4:$AG$127)</f>
        <v>0</v>
      </c>
      <c r="AH134" s="124">
        <f>SUMIF($E$4:$E$127,"310",$AH$4:$AH$127)</f>
        <v>461594602</v>
      </c>
      <c r="AI134" s="124">
        <f>SUMIF($E$4:$E$127,"310",$AI$4:$AI$127)</f>
        <v>0</v>
      </c>
      <c r="AJ134" s="124">
        <f>SUMIF($E$4:$E$127,"310",$AJ$4:$AJ$127)</f>
        <v>0</v>
      </c>
      <c r="AK134" s="124">
        <f>SUMIF($E$4:$E$127,"310",$AK$4:$AK$127)</f>
        <v>0</v>
      </c>
      <c r="AL134" s="124">
        <f>SUMIF($E$4:$E$127,"310",$AL$4:$AL$127)</f>
        <v>0</v>
      </c>
      <c r="AM134" s="124">
        <f>SUMIF($E$4:$E$127,"310",$AM$4:$AM$127)</f>
        <v>0</v>
      </c>
      <c r="AN134" s="124">
        <f>SUMIF($E$4:$E$127,"310",$AN$4:$AN$127)</f>
        <v>0</v>
      </c>
      <c r="AO134" s="124">
        <f>SUMIF($E$4:$E$127,"310",$AO$4:$AO$127)</f>
        <v>0</v>
      </c>
      <c r="AP134" s="124">
        <f>SUMIF($E$4:$E$127,"310",$AP$4:$AP$127)</f>
        <v>0</v>
      </c>
      <c r="AQ134" s="124">
        <f>SUMIF($E$4:$E$127,"310",$AQ$4:$AQ$127)</f>
        <v>0</v>
      </c>
      <c r="AR134" s="124">
        <f>SUMIF($E$4:$E$127,"310",$AR$4:$AR$127)</f>
        <v>0</v>
      </c>
      <c r="AS134" s="124">
        <f>SUMIF($E$4:$E$127,"310",$AS$4:$AS$127)</f>
        <v>0</v>
      </c>
      <c r="AT134" s="124">
        <f>SUMIF($E$4:$E$127,"310",$AT$4:$AT$127)</f>
        <v>0</v>
      </c>
      <c r="AU134" s="124">
        <f>SUMIF($E$4:$E$127,"310",$AU$4:$AU$127)</f>
        <v>0</v>
      </c>
      <c r="AV134" s="124">
        <f>SUMIF($E$4:$E$127,"310",$AV$4:$AV$127)</f>
        <v>0</v>
      </c>
      <c r="AW134" s="124">
        <f>SUMIF($E$4:$E$127,"310",$AW$4:$AW$127)</f>
        <v>25090085</v>
      </c>
      <c r="AX134" s="109">
        <f t="shared" si="166"/>
        <v>0.48185834121036331</v>
      </c>
      <c r="AY134" s="30">
        <f t="shared" si="167"/>
        <v>522511812</v>
      </c>
      <c r="AZ134" s="127">
        <f>SUMIF($E$4:$E$127,"310",$AZ$4:$AZ$127)</f>
        <v>0</v>
      </c>
      <c r="BA134" s="127">
        <f>SUMIF($E$4:$E$127,"310",$BA$4:$BA$127)</f>
        <v>374828403</v>
      </c>
      <c r="BB134" s="127">
        <f>SUMIF($E$4:$E$127,"310",$BB$4:$BB$127)</f>
        <v>0</v>
      </c>
      <c r="BC134" s="127">
        <f>SUMIF($E$4:$E$127,"310",$BC$4:$BC$127)</f>
        <v>95773494</v>
      </c>
      <c r="BD134" s="127">
        <f>SUMIF($E$4:$E$127,"310",$BD$4:$BD$127)</f>
        <v>0</v>
      </c>
      <c r="BE134" s="127">
        <f>SUMIF($E$4:$E$127,"310",$BE$4:$BE$127)</f>
        <v>0</v>
      </c>
      <c r="BF134" s="127">
        <f>SUMIF($E$4:$E$127,"310",$BF$4:$BF$127)</f>
        <v>0</v>
      </c>
      <c r="BG134" s="127">
        <f>SUMIF($E$4:$E$127,"310",$BG$4:$BG$127)</f>
        <v>0</v>
      </c>
      <c r="BH134" s="127">
        <f>SUMIF($E$4:$E$127,"310",$BH$4:$BH$127)</f>
        <v>0</v>
      </c>
      <c r="BI134" s="127">
        <f>SUMIF($E$4:$E$127,"310",$BI$4:$BI$127)</f>
        <v>0</v>
      </c>
      <c r="BJ134" s="127">
        <f>SUMIF($E$4:$E$127,"310",$BJ$4:$BJ$127)</f>
        <v>0</v>
      </c>
      <c r="BK134" s="127">
        <f>SUMIF($E$4:$E$127,"310",$BK$4:$BK$127)</f>
        <v>0</v>
      </c>
      <c r="BL134" s="127">
        <f>SUMIF($E$4:$E$127,"310",$BL$4:$BL$127)</f>
        <v>0</v>
      </c>
      <c r="BM134" s="127">
        <f>SUMIF($E$4:$E$127,"310",$BM$4:$BM$127)</f>
        <v>0</v>
      </c>
      <c r="BN134" s="127">
        <f>SUMIF($E$4:$E$127,"310",$BN$4:$BN$127)</f>
        <v>0</v>
      </c>
      <c r="BO134" s="127">
        <f>SUMIF($E$4:$E$127,"310",$BN$4:$BN$127)</f>
        <v>0</v>
      </c>
      <c r="BP134" s="127">
        <f>SUMIF($E$4:$E$127,"310",$BP$4:$BP$127)</f>
        <v>0</v>
      </c>
      <c r="BQ134" s="127">
        <f>SUMIF($E$4:$E$127,"310",$BQ$4:$BQ$127)</f>
        <v>0</v>
      </c>
      <c r="BR134" s="128">
        <f>SUMIF($E$4:$E$127,"310",$BR$4:$BR$127)</f>
        <v>51909915</v>
      </c>
      <c r="BS134" s="129">
        <f t="shared" si="168"/>
        <v>0.3714677603351399</v>
      </c>
      <c r="BT134" s="36">
        <f t="shared" si="169"/>
        <v>402807788</v>
      </c>
      <c r="BU134" s="124">
        <f>SUMIF($E$4:$E$127,"310",$BU$4:$BU$127)</f>
        <v>0</v>
      </c>
      <c r="BV134" s="124">
        <f>SUMIF($E$4:$E$127,"310",$BV$4:$BV$127)</f>
        <v>0</v>
      </c>
      <c r="BW134" s="124">
        <f>SUMIF($E$4:$E$127,"310",$BW$4:$BW$127)</f>
        <v>74671597</v>
      </c>
      <c r="BX134" s="124">
        <f>SUMIF($E$4:$E$127,"310",$BX$4:$BX$127)</f>
        <v>0</v>
      </c>
      <c r="BY134" s="124">
        <f>SUMIF($E$4:$E$127,"310",$BY$4:$BY$127)</f>
        <v>303539270</v>
      </c>
      <c r="BZ134" s="124">
        <f>SUMIF($E$4:$E$127,"310",$BZ$4:$BZ$127)</f>
        <v>0</v>
      </c>
      <c r="CA134" s="124">
        <f>SUMIF($E$4:$E$127,"310",$CA$4:$CA$127)</f>
        <v>0</v>
      </c>
      <c r="CB134" s="124">
        <f>SUMIF($E$4:$E$127,"310",$CB$4:$CB$127)</f>
        <v>0</v>
      </c>
      <c r="CC134" s="124">
        <f>SUMIF($E$4:$E$127,"310",$CC$4:$CC$127)</f>
        <v>0</v>
      </c>
      <c r="CD134" s="124">
        <f>SUMIF($E$4:$E$127,"310",$CD$4:$CD$127)</f>
        <v>0</v>
      </c>
      <c r="CE134" s="124">
        <f>SUMIF($E$4:$E$127,"310",$CE$4:$CE$127)</f>
        <v>0</v>
      </c>
      <c r="CF134" s="124">
        <f>SUMIF($E$4:$E$127,"310",$CF$4:$CF$127)</f>
        <v>0</v>
      </c>
      <c r="CG134" s="124">
        <f>SUMIF($E$4:$E$127,"310",$CG$4:$CG$127)</f>
        <v>0</v>
      </c>
      <c r="CH134" s="124">
        <f>SUMIF($E$4:$E$127,"310",$CH$4:$CH$127)</f>
        <v>0</v>
      </c>
      <c r="CI134" s="124">
        <f>SUMIF($E$4:$E$127,"310",$CI$4:$CI$127)</f>
        <v>0</v>
      </c>
      <c r="CJ134" s="124">
        <f>SUMIF($E$4:$E$127,"310",$CJ$4:$CJ$127)</f>
        <v>0</v>
      </c>
      <c r="CK134" s="124">
        <f>SUMIF($E$4:$E$127,"310",$CK$4:$CK$127)</f>
        <v>0</v>
      </c>
      <c r="CL134" s="124">
        <f>SUMIF($E$4:$E$127,"310",$CL$4:$CL$127)</f>
        <v>0</v>
      </c>
      <c r="CM134" s="124">
        <f>SUMIF($E$4:$E$127,"310",$CM$4:$CM$127)</f>
        <v>0</v>
      </c>
      <c r="CN134" s="130">
        <f>SUMIF($E$4:$E$127,"310",$CN$4:$CN$127)</f>
        <v>24596921</v>
      </c>
      <c r="CO134" s="27">
        <f t="shared" si="170"/>
        <v>0.62853223966486005</v>
      </c>
      <c r="CP134" s="30">
        <f t="shared" si="171"/>
        <v>681560308</v>
      </c>
      <c r="CQ134" s="127">
        <f>SUMIF($E$4:$E$127,"310",$CQ$4:$CQ$127)</f>
        <v>0</v>
      </c>
      <c r="CR134" s="127">
        <f>SUMIF($E$4:$E$127,"310",$CR$4:$CR$127)</f>
        <v>375328403</v>
      </c>
      <c r="CS134" s="127">
        <f>SUMIF($E$4:$E$127,"310",$CS$4:$CS$127)</f>
        <v>0</v>
      </c>
      <c r="CT134" s="127">
        <f>SUMIF($E$4:$E$127,"310",$CT$4:$CT$127)</f>
        <v>253828826</v>
      </c>
      <c r="CU134" s="127">
        <f>SUMIF($E$4:$E$127,"310",$CU$4:$CU$127)</f>
        <v>0</v>
      </c>
      <c r="CV134" s="127">
        <f>SUMIF($E$4:$E$127,"310",$CV$4:$CV$127)</f>
        <v>0</v>
      </c>
      <c r="CW134" s="131">
        <f>SUMIF($E$4:$E$127,"310",$CW$4:$CW$127)</f>
        <v>0</v>
      </c>
      <c r="CX134" s="131">
        <f>SUMIF($E$4:$E$127,"310",$CX$4:$CX$127)</f>
        <v>0</v>
      </c>
      <c r="CY134" s="131">
        <f>SUMIF($E$4:$E$127,"310",$CY$4:$CY$127)</f>
        <v>0</v>
      </c>
      <c r="CZ134" s="131">
        <f>SUMIF($E$4:$E$127,"310",$CZ$4:$CZ$127)</f>
        <v>0</v>
      </c>
      <c r="DA134" s="131">
        <f>SUMIF($E$4:$E$127,"310",$DA$4:$DA$127)</f>
        <v>0</v>
      </c>
      <c r="DB134" s="131">
        <f>SUMIF($E$4:$E$127,"310",$DB$4:$DB$127)</f>
        <v>0</v>
      </c>
      <c r="DC134" s="131">
        <f>SUMIF($E$4:$E$127,"310",$DC$4:$DC$127)</f>
        <v>0</v>
      </c>
      <c r="DD134" s="131">
        <f>SUMIF($E$4:$E$127,"310",$DD$4:$DD$127)</f>
        <v>0</v>
      </c>
      <c r="DE134" s="131">
        <f>SUMIF($E$4:$E$127,"310",$DE$4:$DE$127)</f>
        <v>0</v>
      </c>
      <c r="DF134" s="131">
        <f>SUMIF($E$4:$E$127,"310",$DF$4:$DF$127)</f>
        <v>0</v>
      </c>
      <c r="DG134" s="131">
        <f>SUMIF($E$4:$E$127,"310",$DG$4:$DG$127)</f>
        <v>0</v>
      </c>
      <c r="DH134" s="131">
        <f>SUMIF($E$4:$E$127,"310",$DH$4:$DH$127)</f>
        <v>0</v>
      </c>
      <c r="DI134" s="131">
        <f>SUMIF($E$4:$E$127,"310",$DI$4:$DI$127)</f>
        <v>52403079</v>
      </c>
    </row>
    <row r="135" spans="3:113" x14ac:dyDescent="0.25">
      <c r="C135" s="133"/>
      <c r="D135" s="122" t="s">
        <v>365</v>
      </c>
      <c r="E135" s="115">
        <v>410</v>
      </c>
      <c r="F135" s="123"/>
      <c r="G135" s="124">
        <f>SUMIF($E$4:$E$127,"410",$G$4:$G$127)</f>
        <v>5225565856</v>
      </c>
      <c r="H135" s="125">
        <f>SUMIF($E$4:$E$127,"410",$H$4:$H$127)</f>
        <v>0</v>
      </c>
      <c r="I135" s="125">
        <f>SUMIF($E$4:$E$128,"410",$I$4:$I$128)</f>
        <v>1563096695</v>
      </c>
      <c r="J135" s="124">
        <f>SUMIF($E$4:$E$127,"410",$J$4:$J$127)</f>
        <v>0</v>
      </c>
      <c r="K135" s="123">
        <f>SUMIF($E$4:$E$127,"410",$K$4:$K$127)</f>
        <v>0</v>
      </c>
      <c r="L135" s="123">
        <f>SUMIF($E$4:$E$127,"410",$L$4:$L$127)</f>
        <v>74368590</v>
      </c>
      <c r="M135" s="123">
        <f>SUMIF($E$4:$E$127,"410",$M$4:$M$127)</f>
        <v>0</v>
      </c>
      <c r="N135" s="123">
        <f>SUMIF($E$4:$E$127,"410",$N$4:$N$127)</f>
        <v>0</v>
      </c>
      <c r="O135" s="123">
        <f>SUMIF($E$4:$E$127,"410",$O$4:$O$127)</f>
        <v>0</v>
      </c>
      <c r="P135" s="123">
        <f>SUMIF($E$4:$E$127,"410",$P$4:$P$127)</f>
        <v>0</v>
      </c>
      <c r="Q135" s="123">
        <f>SUMIF($E$4:$E$127,"410",$Q$4:$Q$127)</f>
        <v>0</v>
      </c>
      <c r="R135" s="123">
        <f>SUMIF($E$4:$E$127,"410",$R$4:$R$127)</f>
        <v>1802332849</v>
      </c>
      <c r="S135" s="123">
        <f>SUMIF($E$4:$E$127,"410",$S$4:$S$127)</f>
        <v>387696735</v>
      </c>
      <c r="T135" s="123">
        <f>SUMIF($E$4:$E$127,"410",$T$4:$T$127)</f>
        <v>0</v>
      </c>
      <c r="U135" s="123">
        <f>SUMIF($E$4:$E$119,"410",$U$4:$U$119)</f>
        <v>1054833768</v>
      </c>
      <c r="V135" s="123">
        <f>SUMIF($E$4:$E$119,"410",$V$4:$V$119)</f>
        <v>0</v>
      </c>
      <c r="W135" s="123">
        <f>SUMIF($E$4:$E$127,"410",$W$4:$W$127)</f>
        <v>51295383</v>
      </c>
      <c r="X135" s="123">
        <f>SUMIF($E$4:$E$127,"410",$X$4:$X$127)</f>
        <v>0</v>
      </c>
      <c r="Y135" s="123">
        <f>SUMIF($E$4:$E$127,"410",$Y$4:$Y$127)</f>
        <v>204741836</v>
      </c>
      <c r="Z135" s="123">
        <f>SUMIF($E$4:$E$127,"410",$Z$4:$Z$127)</f>
        <v>87200000</v>
      </c>
      <c r="AB135" s="126">
        <f t="shared" si="164"/>
        <v>0.903539422353421</v>
      </c>
      <c r="AC135" s="30">
        <f t="shared" si="165"/>
        <v>4721504755</v>
      </c>
      <c r="AD135" s="124">
        <f>SUMIF($E$4:$E$127,"410",$AD$4:$AD$127)</f>
        <v>0</v>
      </c>
      <c r="AE135" s="124">
        <f>SUMIF($E$4:$E$127,"410",$AE$4:$AE$127)</f>
        <v>0</v>
      </c>
      <c r="AF135" s="124">
        <f>SUMIF($E$4:$E$127,"410",$AF$4:$AF$127)</f>
        <v>1545956457</v>
      </c>
      <c r="AG135" s="124">
        <f>SUMIF($E$4:$E$127,"410",$AG$4:$AG$127)</f>
        <v>0</v>
      </c>
      <c r="AH135" s="124">
        <f>SUMIF($E$4:$E$127,"410",$AH$4:$AH$127)</f>
        <v>0</v>
      </c>
      <c r="AI135" s="124">
        <f>SUMIF($E$4:$E$127,"410",$AI$4:$AI$127)</f>
        <v>43061377</v>
      </c>
      <c r="AJ135" s="124">
        <f>SUMIF($E$4:$E$127,"410",$AJ$4:$AJ$127)</f>
        <v>0</v>
      </c>
      <c r="AK135" s="124">
        <f>SUMIF($E$4:$E$127,"410",$AK$4:$AK$127)</f>
        <v>0</v>
      </c>
      <c r="AL135" s="124">
        <f>SUMIF($E$4:$E$127,"410",$AL$4:$AL$127)</f>
        <v>0</v>
      </c>
      <c r="AM135" s="124">
        <f>SUMIF($E$4:$E$127,"410",$AM$4:$AM$127)</f>
        <v>0</v>
      </c>
      <c r="AN135" s="124">
        <f>SUMIF($E$4:$E$127,"410",$AN$4:$AN$127)</f>
        <v>0</v>
      </c>
      <c r="AO135" s="124">
        <f>SUMIF($E$4:$E$127,"410",$AO$4:$AO$127)</f>
        <v>1763057320</v>
      </c>
      <c r="AP135" s="124">
        <f>SUMIF($E$4:$E$127,"410",$AP$4:$AP$127)</f>
        <v>304609464</v>
      </c>
      <c r="AQ135" s="124">
        <f>SUMIF($E$4:$E$127,"410",$AQ$4:$AQ$127)</f>
        <v>0</v>
      </c>
      <c r="AR135" s="124">
        <f>SUMIF($E$4:$E$127,"410",$AR$4:$AR$127)</f>
        <v>832240418</v>
      </c>
      <c r="AS135" s="124">
        <f>SUMIF($E$4:$E$127,"410",$AS$4:$AS$127)</f>
        <v>0</v>
      </c>
      <c r="AT135" s="124">
        <f>SUMIF($E$4:$E$127,"410",$AT$4:$AT$127)</f>
        <v>51295383</v>
      </c>
      <c r="AU135" s="124">
        <f>SUMIF($E$4:$E$127,"410",$AU$4:$AU$127)</f>
        <v>0</v>
      </c>
      <c r="AV135" s="124">
        <f>SUMIF($E$4:$E$127,"410",$AV$4:$AV$127)</f>
        <v>114321836</v>
      </c>
      <c r="AW135" s="124">
        <f>SUMIF($E$4:$E$127,"410",$AW$4:$AW$127)</f>
        <v>66962500</v>
      </c>
      <c r="AX135" s="109">
        <f t="shared" si="166"/>
        <v>9.6460577646579004E-2</v>
      </c>
      <c r="AY135" s="30">
        <f t="shared" si="167"/>
        <v>504061101</v>
      </c>
      <c r="AZ135" s="127">
        <f>SUMIF($E$4:$E$127,"410",$AZ$4:$AZ$127)</f>
        <v>0</v>
      </c>
      <c r="BA135" s="127">
        <f>SUMIF($E$4:$E$127,"410",$BA$4:$BA$127)</f>
        <v>17140238</v>
      </c>
      <c r="BB135" s="127">
        <f>SUMIF($E$4:$E$127,"410",$BB$4:$BB$127)</f>
        <v>0</v>
      </c>
      <c r="BC135" s="127">
        <f>SUMIF($E$4:$E$127,"410",$BC$4:$BC$127)</f>
        <v>0</v>
      </c>
      <c r="BD135" s="127">
        <f>SUMIF($E$4:$E$127,"410",$BD$4:$BD$127)</f>
        <v>31307213</v>
      </c>
      <c r="BE135" s="127">
        <f>SUMIF($E$4:$E$127,"410",$BE$4:$BE$127)</f>
        <v>0</v>
      </c>
      <c r="BF135" s="127">
        <f>SUMIF($E$4:$E$127,"410",$BF$4:$BF$127)</f>
        <v>0</v>
      </c>
      <c r="BG135" s="127">
        <f>SUMIF($E$4:$E$127,"410",$BG$4:$BG$127)</f>
        <v>0</v>
      </c>
      <c r="BH135" s="127">
        <f>SUMIF($E$4:$E$127,"410",$BH$4:$BH$127)</f>
        <v>0</v>
      </c>
      <c r="BI135" s="127">
        <f>SUMIF($E$4:$E$127,"410",$BI$4:$BI$127)</f>
        <v>0</v>
      </c>
      <c r="BJ135" s="127">
        <f>SUMIF($E$4:$E$127,"410",$BJ$4:$BJ$127)</f>
        <v>39275529</v>
      </c>
      <c r="BK135" s="127">
        <f>SUMIF($E$4:$E$127,"410",$BK$4:$BK$127)</f>
        <v>83087271</v>
      </c>
      <c r="BL135" s="127">
        <f>SUMIF($E$4:$E$127,"410",$BL$4:$BL$127)</f>
        <v>0</v>
      </c>
      <c r="BM135" s="127">
        <f>SUMIF($E$4:$E$127,"410",$BM$4:$BM$127)</f>
        <v>222593350</v>
      </c>
      <c r="BN135" s="127">
        <f>SUMIF($E$4:$E$127,"510",$BN$4:$BN$127)</f>
        <v>0</v>
      </c>
      <c r="BO135" s="127">
        <f>SUMIF($E$4:$E$127,"410",$BO$4:$BO$127)</f>
        <v>0</v>
      </c>
      <c r="BP135" s="127">
        <f>SUMIF($E$4:$E$127,"410",$BP$4:$BP$127)</f>
        <v>0</v>
      </c>
      <c r="BQ135" s="127">
        <f>SUMIF($E$4:$E$127,"410",$BQ$4:$BQ$127)</f>
        <v>90420000</v>
      </c>
      <c r="BR135" s="128">
        <f>SUMIF($E$4:$E$127,"410",$BR$4:$BR$127)</f>
        <v>20237500</v>
      </c>
      <c r="BS135" s="129">
        <f t="shared" si="168"/>
        <v>0.58793228114662577</v>
      </c>
      <c r="BT135" s="30">
        <f t="shared" si="169"/>
        <v>3072278854</v>
      </c>
      <c r="BU135" s="124">
        <f>SUMIF($E$4:$E$127,"410",$BU$4:$BU$127)</f>
        <v>0</v>
      </c>
      <c r="BV135" s="124">
        <f>SUMIF($E$4:$E$127,"410",$BV$4:$BV$127)</f>
        <v>0</v>
      </c>
      <c r="BW135" s="124">
        <f>SUMIF($E$4:$E$127,"410",$BW$4:$BW$127)</f>
        <v>824157050</v>
      </c>
      <c r="BX135" s="124">
        <f>SUMIF($E$4:$E$127,"410",$BX$4:$BX$127)</f>
        <v>0</v>
      </c>
      <c r="BY135" s="124">
        <f>SUMIF($E$4:$E$127,"410",$BY$4:$BY$127)</f>
        <v>0</v>
      </c>
      <c r="BZ135" s="124">
        <f>SUMIF($E$4:$E$127,"410",$BZ$4:$BZ$127)</f>
        <v>35500000</v>
      </c>
      <c r="CA135" s="124">
        <f>SUMIF($E$4:$E$127,"410",$CA$4:$CA$127)</f>
        <v>0</v>
      </c>
      <c r="CB135" s="124">
        <f>SUMIF($E$4:$E$127,"410",$CB$4:$CB$127)</f>
        <v>0</v>
      </c>
      <c r="CC135" s="124">
        <f>SUMIF($E$4:$E$127,"410",$CC$4:$CC$127)</f>
        <v>0</v>
      </c>
      <c r="CD135" s="124">
        <f>SUMIF($E$4:$E$127,"410",$CD$4:$CD$127)</f>
        <v>0</v>
      </c>
      <c r="CE135" s="124">
        <f>SUMIF($E$4:$E$127,"410",$CE$4:$CE$127)</f>
        <v>0</v>
      </c>
      <c r="CF135" s="124">
        <f>SUMIF($E$4:$E$127,"410",$CF$4:$CF$127)</f>
        <v>1085446388</v>
      </c>
      <c r="CG135" s="124">
        <f>SUMIF($E$4:$E$127,"410",$CG$4:$CG$127)</f>
        <v>280642464</v>
      </c>
      <c r="CH135" s="124">
        <f>SUMIF($E$4:$E$127,"410",$CH$4:$CH$127)</f>
        <v>0</v>
      </c>
      <c r="CI135" s="124">
        <f>SUMIF($E$4:$E$127,"410",$CI$4:$CI$127)</f>
        <v>766242889</v>
      </c>
      <c r="CJ135" s="124">
        <f>SUMIF($E$4:$E$127,"410",$CJ$4:$CJ$127)</f>
        <v>0</v>
      </c>
      <c r="CK135" s="124">
        <f>SUMIF($E$4:$E$127,"410",$CK$4:$CK$127)</f>
        <v>0</v>
      </c>
      <c r="CL135" s="124">
        <f>SUMIF($E$4:$E$127,"410",$CL$4:$CL$127)</f>
        <v>0</v>
      </c>
      <c r="CM135" s="124">
        <f>SUMIF($E$4:$E$127,"410",$CM$4:$CM$127)</f>
        <v>23350298</v>
      </c>
      <c r="CN135" s="130">
        <f>SUMIF($E$4:$E$127,"410",$CN$4:$CN$127)</f>
        <v>56939765</v>
      </c>
      <c r="CO135" s="27">
        <f t="shared" si="170"/>
        <v>0.41206771885337423</v>
      </c>
      <c r="CP135" s="30">
        <f t="shared" si="171"/>
        <v>2153287002</v>
      </c>
      <c r="CQ135" s="127">
        <f>SUMIF($E$4:$E$127,"410",$CQ$4:$CQ$127)</f>
        <v>0</v>
      </c>
      <c r="CR135" s="127">
        <f>SUMIF($E$4:$E$127,"410",$CR$4:$CR$127)</f>
        <v>738939645</v>
      </c>
      <c r="CS135" s="127">
        <f>SUMIF($E$4:$E$127,"410",$CS$4:$CS$127)</f>
        <v>0</v>
      </c>
      <c r="CT135" s="127">
        <f>SUMIF($E$4:$E$127,"410",$CT$4:$CT$127)</f>
        <v>0</v>
      </c>
      <c r="CU135" s="127">
        <f>SUMIF($E$4:$E$127,"410",$CU$4:$CU$127)</f>
        <v>38868590</v>
      </c>
      <c r="CV135" s="127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0</v>
      </c>
      <c r="CY135" s="131">
        <f>SUMIF($E$4:$E$127,"410",$CY$4:$CY$127)</f>
        <v>0</v>
      </c>
      <c r="CZ135" s="131">
        <f>SUMIF($E$4:$E$127,"410",$CZ$4:$CZ$127)</f>
        <v>0</v>
      </c>
      <c r="DA135" s="131">
        <f>SUMIF($E$4:$E$127,"410",$DA$4:$DA$127)</f>
        <v>716886461</v>
      </c>
      <c r="DB135" s="131">
        <f>SUMIF($E$4:$E$127,"410",$DB$4:$DB$127)</f>
        <v>107054271</v>
      </c>
      <c r="DC135" s="131">
        <f>SUMIF($E$4:$E$127,"410",$DC$4:$DC$127)</f>
        <v>0</v>
      </c>
      <c r="DD135" s="131">
        <f>SUMIF($E$4:$E$127,"410",$DD$4:$DD$127)</f>
        <v>288590879</v>
      </c>
      <c r="DE135" s="131">
        <f>SUMIF($E$4:$E$127,"410",$DE$4:$DE$127)</f>
        <v>0</v>
      </c>
      <c r="DF135" s="131">
        <f>SUMIF($E$4:$E$127,"410",$DF$4:$DF$127)</f>
        <v>51295383</v>
      </c>
      <c r="DG135" s="131">
        <f>SUMIF($E$4:$E$127,"410",$DG$4:$DG$127)</f>
        <v>0</v>
      </c>
      <c r="DH135" s="131">
        <f>SUMIF($E$4:$E$127,"410",$DH$4:$DH$127)</f>
        <v>181391538</v>
      </c>
      <c r="DI135" s="131">
        <f>SUMIF($E$4:$E$127,"410",$DI$4:$DI$127)</f>
        <v>30260235</v>
      </c>
    </row>
    <row r="136" spans="3:113" ht="14.25" customHeight="1" x14ac:dyDescent="0.25">
      <c r="C136" s="133"/>
      <c r="D136" s="134" t="s">
        <v>366</v>
      </c>
      <c r="E136" s="115">
        <v>510</v>
      </c>
      <c r="F136" s="123"/>
      <c r="G136" s="124">
        <f>SUMIF($E$4:$E$127,"510",$G$4:$G$127)</f>
        <v>1020280977</v>
      </c>
      <c r="H136" s="125">
        <f>SUMIF($E$4:$E$127,"510",$H$4:$H$127)</f>
        <v>0</v>
      </c>
      <c r="I136" s="125">
        <f>SUMIF($E$4:$E$128,"510",$I$4:$I$128)</f>
        <v>0</v>
      </c>
      <c r="J136" s="124">
        <f>SUMIF($E$4:$E$127,"510",$J$4:$J$127)</f>
        <v>0</v>
      </c>
      <c r="K136" s="123">
        <f>SUMIF($E$4:$E$127,"510",$K$4:$K$127)</f>
        <v>822368554</v>
      </c>
      <c r="L136" s="123">
        <f>SUMIF($E$4:$E$127,"510",$L$4:$L$127)</f>
        <v>14004396</v>
      </c>
      <c r="M136" s="123">
        <f>SUMIF($E$4:$E$127,"510",$M$4:$M$127)</f>
        <v>0</v>
      </c>
      <c r="N136" s="123">
        <f>SUMIF($E$4:$E$127,"510",$N$4:$N$127)</f>
        <v>0</v>
      </c>
      <c r="O136" s="123">
        <f>SUMIF($E$4:$E$127,"510",$O$4:$O$127)</f>
        <v>0</v>
      </c>
      <c r="P136" s="123">
        <f>SUMIF($E$4:$E$127,"510",$P$4:$P$127)</f>
        <v>0</v>
      </c>
      <c r="Q136" s="123">
        <f>SUMIF($E$4:$E$127,"510",$Q$4:$Q$127)</f>
        <v>0</v>
      </c>
      <c r="R136" s="123">
        <f>SUMIF($E$4:$E$127,"510",$R$4:$R$127)</f>
        <v>0</v>
      </c>
      <c r="S136" s="123">
        <f>SUMIF($E$4:$E$127,"510",$S$4:$S$127)</f>
        <v>40431446</v>
      </c>
      <c r="T136" s="123">
        <f>SUMIF($E$4:$E$127,"510",$T$4:$T$127)</f>
        <v>1796640</v>
      </c>
      <c r="U136" s="123">
        <f>SUMIF($E$4:$E$127,"510",$U$4:$U$127)</f>
        <v>0</v>
      </c>
      <c r="V136" s="123">
        <f>SUMIF($E$4:$E$119,"510",$V$4:$V$119)</f>
        <v>0</v>
      </c>
      <c r="W136" s="123"/>
      <c r="X136" s="123">
        <f>SUMIF($E$4:$E$127,"510",$X$4:$X$127)</f>
        <v>0</v>
      </c>
      <c r="Y136" s="123">
        <f>SUMIF($E$4:$E$127,"510",$Y$4:$Y$127)</f>
        <v>0</v>
      </c>
      <c r="Z136" s="123">
        <f>SUMIF($E$4:$E$127,"510",$Z$4:$Z$127)</f>
        <v>141679941</v>
      </c>
      <c r="AB136" s="126">
        <f t="shared" si="164"/>
        <v>0.86672247345056597</v>
      </c>
      <c r="AC136" s="30">
        <f t="shared" si="165"/>
        <v>884300452</v>
      </c>
      <c r="AD136" s="124">
        <f>SUMIF($E$4:$E$127,"510",$AD$4:$AD$127)</f>
        <v>0</v>
      </c>
      <c r="AE136" s="124">
        <f>SUMIF($E$4:$E$127,"510",$AE$4:$AE$127)</f>
        <v>0</v>
      </c>
      <c r="AF136" s="124">
        <f>SUMIF($E$4:$E$127,"510",$AF$4:$AF$127)</f>
        <v>0</v>
      </c>
      <c r="AG136" s="124">
        <f>SUMIF($E$4:$E$127,"510",$AG$4:$AG$127)</f>
        <v>0</v>
      </c>
      <c r="AH136" s="124">
        <f>SUMIF($E$4:$E$127,"510",$AH$4:$AH$127)</f>
        <v>744468224</v>
      </c>
      <c r="AI136" s="124">
        <f>SUMIF($E$4:$E$127,"510",$AI$4:$AI$127)</f>
        <v>14004396</v>
      </c>
      <c r="AJ136" s="124">
        <f>SUMIF($E$4:$E$127,"510",$AJ$4:$AJ$127)</f>
        <v>0</v>
      </c>
      <c r="AK136" s="124">
        <f>SUMIF($E$4:$E$127,"510",$AK$4:$AK$127)</f>
        <v>0</v>
      </c>
      <c r="AL136" s="124">
        <f>SUMIF($E$4:$E$127,"510",$AL$4:$AL$127)</f>
        <v>0</v>
      </c>
      <c r="AM136" s="124">
        <f>SUMIF($E$4:$E$127,"510",$AM$4:$AM$127)</f>
        <v>0</v>
      </c>
      <c r="AN136" s="124">
        <f>SUMIF($E$4:$E$127,"510",$AN$4:$AN$127)</f>
        <v>0</v>
      </c>
      <c r="AO136" s="124">
        <f>SUMIF($E$4:$E$127,"510",$AO$4:$AO$127)</f>
        <v>0</v>
      </c>
      <c r="AP136" s="124">
        <f>SUMIF($E$4:$E$127,"510",$AP$4:$AP$127)</f>
        <v>23188762</v>
      </c>
      <c r="AQ136" s="124">
        <f>SUMIF($E$4:$E$127,"510",$AQ$4:$AQ$127)</f>
        <v>1796640</v>
      </c>
      <c r="AR136" s="124">
        <f>SUMIF($E$4:$E$127,"510",$AR$4:$AR$127)</f>
        <v>0</v>
      </c>
      <c r="AS136" s="124">
        <f>SUMIF($E$4:$E$127,"510",$AS$4:$AS$127)</f>
        <v>0</v>
      </c>
      <c r="AT136" s="124">
        <f>SUMIF($E$4:$E$127,"510",$AT$4:$AT$127)</f>
        <v>0</v>
      </c>
      <c r="AU136" s="124">
        <f>SUMIF($E$4:$E$127,"510",$AU$4:$AU$127)</f>
        <v>0</v>
      </c>
      <c r="AV136" s="124">
        <f>SUMIF($E$4:$E$127," 510",$AV$4:$AV$127)</f>
        <v>0</v>
      </c>
      <c r="AW136" s="124">
        <f>SUMIF($E$4:$E$127,"510",$AW$4:$AW$127)</f>
        <v>100842430</v>
      </c>
      <c r="AX136" s="109">
        <f t="shared" si="166"/>
        <v>0.13327752654943403</v>
      </c>
      <c r="AY136" s="30">
        <f t="shared" si="167"/>
        <v>135980525</v>
      </c>
      <c r="AZ136" s="127">
        <f>SUMIF($E$4:$E$127,"510",$AZ$4:$AZ$127)</f>
        <v>0</v>
      </c>
      <c r="BA136" s="127">
        <f>SUMIF($E$4:$E$127,"510",$BA$4:$BA$127)</f>
        <v>0</v>
      </c>
      <c r="BB136" s="127">
        <f>SUMIF($E$4:$E$127,"510",$BB$4:$BB$127)</f>
        <v>0</v>
      </c>
      <c r="BC136" s="127">
        <f>SUMIF($E$4:$E$127,"510",$BC$4:$BC$127)</f>
        <v>77900330</v>
      </c>
      <c r="BD136" s="127">
        <f>SUMIF($E$4:$E$127,"510",$BD$4:$BD$127)</f>
        <v>0</v>
      </c>
      <c r="BE136" s="127">
        <f>SUMIF($E$4:$E$127,"510",$BE$4:$BE$127)</f>
        <v>0</v>
      </c>
      <c r="BF136" s="127">
        <f>SUMIF($E$4:$E$127,"510",$BF$4:$BF$127)</f>
        <v>0</v>
      </c>
      <c r="BG136" s="127">
        <f>SUMIF($E$4:$E$127,"510",$BG$4:$BG$127)</f>
        <v>0</v>
      </c>
      <c r="BH136" s="127">
        <f>SUMIF($E$4:$E$127,"510",$BH$4:$BH$127)</f>
        <v>0</v>
      </c>
      <c r="BI136" s="127">
        <f>SUMIF($E$4:$E$127,"510",$BI$4:$BI$127)</f>
        <v>0</v>
      </c>
      <c r="BJ136" s="127">
        <f>SUMIF($E$4:$E$127,"510",$BJ$4:$BJ$127)</f>
        <v>0</v>
      </c>
      <c r="BK136" s="127">
        <f>SUMIF($E$4:$E$127,"510",$BK$4:$BK$127)</f>
        <v>17242684</v>
      </c>
      <c r="BL136" s="127">
        <f>SUMIF($E$4:$E$127,"510",$BL$4:$BL$127)</f>
        <v>0</v>
      </c>
      <c r="BM136" s="127">
        <f>SUMIF($E$4:$E$127,"510",$BM$4:$BM$127)</f>
        <v>0</v>
      </c>
      <c r="BN136" s="127">
        <f>SUMIF($E$4:$E$127,"520",$BN$4:$BN$127)</f>
        <v>0</v>
      </c>
      <c r="BO136" s="127"/>
      <c r="BP136" s="127">
        <f>SUMIF($E$4:$E$127,"510",$BP$4:$BP$127)</f>
        <v>0</v>
      </c>
      <c r="BQ136" s="127">
        <f>SUMIF($E$4:$E$127,"510",$BQ$4:$BQ$127)</f>
        <v>0</v>
      </c>
      <c r="BR136" s="128">
        <f>SUMIF($E$4:$E$127,"510",$BR$4:$BR$127)</f>
        <v>40837511</v>
      </c>
      <c r="BS136" s="129">
        <f t="shared" si="168"/>
        <v>0.79578132720590755</v>
      </c>
      <c r="BT136" s="30">
        <f t="shared" si="169"/>
        <v>811920550</v>
      </c>
      <c r="BU136" s="124">
        <f>SUMIF($E$4:$E$127,"510",$BU$4:$BU$127)</f>
        <v>0</v>
      </c>
      <c r="BV136" s="124">
        <f>SUMIF($E$4:$E$127,"510",$BV$4:$BV$127)</f>
        <v>0</v>
      </c>
      <c r="BW136" s="124">
        <f>SUMIF($E$4:$E$127,"510",$BW$4:$BW$127)</f>
        <v>0</v>
      </c>
      <c r="BX136" s="124">
        <f>SUMIF($E$4:$E$127,"510",$BX$4:$BX$127)</f>
        <v>0</v>
      </c>
      <c r="BY136" s="124">
        <f>SUMIF($E$4:$E$127,"510",$BY$4:$BY$127)</f>
        <v>704650258</v>
      </c>
      <c r="BZ136" s="124">
        <f>SUMIF($E$4:$E$127,"510",$BZ$4:$BZ$127)</f>
        <v>14004396</v>
      </c>
      <c r="CA136" s="124">
        <f>SUMIF($E$4:$E$127,"510",$CA$4:$CA$127)</f>
        <v>0</v>
      </c>
      <c r="CB136" s="124">
        <f>SUMIF($E$4:$E$127,"510",$CB$4:$CB$127)</f>
        <v>0</v>
      </c>
      <c r="CC136" s="124">
        <f>SUMIF($E$4:$E$127,"510",$CC$4:$CC$127)</f>
        <v>0</v>
      </c>
      <c r="CD136" s="124">
        <f>SUMIF($E$4:$E$127,"510",$CD$4:$CD$127)</f>
        <v>0</v>
      </c>
      <c r="CE136" s="124">
        <f>SUMIF($E$4:$E$127,"510",$CE$4:$CE$127)</f>
        <v>0</v>
      </c>
      <c r="CF136" s="124">
        <f>SUMIF($E$4:$E$127,"510",$CF$4:$CF$127)</f>
        <v>0</v>
      </c>
      <c r="CG136" s="124">
        <f>SUMIF($E$4:$E$127,"510",$CG$4:$CG$127)</f>
        <v>23178230</v>
      </c>
      <c r="CH136" s="124">
        <f>SUMIF($E$4:$E$127,"510",$CH$4:$CH$127)</f>
        <v>1796640</v>
      </c>
      <c r="CI136" s="124">
        <f>SUMIF($E$4:$E$127,"510",$CI$4:$CI$127)</f>
        <v>0</v>
      </c>
      <c r="CJ136" s="124">
        <f>SUMIF($E$4:$E$127,"510",$CJ$4:$CJ$127)</f>
        <v>0</v>
      </c>
      <c r="CK136" s="124">
        <f>SUMIF($E$4:$E$127,"111",$CK$4:$CK$127)</f>
        <v>0</v>
      </c>
      <c r="CL136" s="124">
        <f>SUMIF($E$4:$E$127,"510",$CL$4:$CL$127)</f>
        <v>0</v>
      </c>
      <c r="CM136" s="124">
        <f>SUMIF($E$4:$E$127,"510",$CM$4:$CM$127)</f>
        <v>0</v>
      </c>
      <c r="CN136" s="130">
        <f>SUMIF($E$4:$E$127,"510",$CN$4:$CN$127)</f>
        <v>68291026</v>
      </c>
      <c r="CO136" s="27">
        <f t="shared" si="170"/>
        <v>0.20421867279409245</v>
      </c>
      <c r="CP136" s="30">
        <f t="shared" si="171"/>
        <v>208360427</v>
      </c>
      <c r="CQ136" s="127">
        <f>SUMIF($E$4:$E$127,"510",$CQ$4:$CQ$127)</f>
        <v>0</v>
      </c>
      <c r="CR136" s="127">
        <f>SUMIF($E$4:$E$127,"510",$CR$4:$CR$127)</f>
        <v>0</v>
      </c>
      <c r="CS136" s="127">
        <f>SUMIF($E$4:$E$127,"510",$CS$4:$CS$127)</f>
        <v>0</v>
      </c>
      <c r="CT136" s="127">
        <f>SUMIF($E$4:$E$127,"510",$CT$4:$CT$127)</f>
        <v>117718296</v>
      </c>
      <c r="CU136" s="127">
        <f>SUMIF($E$4:$E$127,"510",$CU$4:$CU$127)</f>
        <v>0</v>
      </c>
      <c r="CV136" s="127">
        <f>SUMIF($E$4:$E$127,"510",$CV$4:$CV$127)</f>
        <v>0</v>
      </c>
      <c r="CW136" s="131">
        <f>SUMIF($E$4:$E$127,"510",$CW$4:$CW$127)</f>
        <v>0</v>
      </c>
      <c r="CX136" s="131">
        <f>SUMIF($E$4:$E$127,"510",$CX$4:$CX$127)</f>
        <v>0</v>
      </c>
      <c r="CY136" s="131">
        <f>SUMIF($E$4:$E$127,"510",$CY$4:$CY$127)</f>
        <v>0</v>
      </c>
      <c r="CZ136" s="131">
        <f>SUMIF($E$4:$E$127,"510",$CZ$4:$CZ$127)</f>
        <v>0</v>
      </c>
      <c r="DA136" s="131">
        <f>SUMIF($E$4:$E$127,"510",$DA$4:$DA$127)</f>
        <v>0</v>
      </c>
      <c r="DB136" s="131">
        <f>SUMIF($E$4:$E$127,"510",$DB$4:$DB$127)</f>
        <v>17253216</v>
      </c>
      <c r="DC136" s="131">
        <f>SUMIF($E$4:$E$127,"510",$DC$4:$DC$127)</f>
        <v>0</v>
      </c>
      <c r="DD136" s="131">
        <f>SUMIF($E$4:$E$127,"510",$DD$4:$DD$127)</f>
        <v>0</v>
      </c>
      <c r="DE136" s="131">
        <f>SUMIF($E$4:$E$127,"510",$DE$4:$DE$127)</f>
        <v>0</v>
      </c>
      <c r="DF136" s="131">
        <f>SUMIF($E$4:$E$127,"510",$DF$4:$DF$127)</f>
        <v>0</v>
      </c>
      <c r="DG136" s="131">
        <f>SUMIF($E$4:$E$127,"510",$DG$4:$DG$127)</f>
        <v>0</v>
      </c>
      <c r="DH136" s="131">
        <f>SUMIF($E$4:$E$127,"510",$DH$4:$DH$127)</f>
        <v>0</v>
      </c>
      <c r="DI136" s="131">
        <f>SUMIF($E$4:$E$127,"510",$DI$4:$DI$127)</f>
        <v>73388915</v>
      </c>
    </row>
    <row r="137" spans="3:113" x14ac:dyDescent="0.25">
      <c r="C137" s="133"/>
      <c r="D137" s="122" t="s">
        <v>367</v>
      </c>
      <c r="E137" s="115">
        <v>520</v>
      </c>
      <c r="F137" s="123"/>
      <c r="G137" s="124">
        <f>SUMIF($E$4:$E$127,"520",$G$4:$G$127)</f>
        <v>1683497241</v>
      </c>
      <c r="H137" s="125">
        <f>SUMIF($E$4:$E$127,"520",$H$4:$H$127)</f>
        <v>0</v>
      </c>
      <c r="I137" s="125">
        <f>SUMIF($E$4:$E$127,"520",$I$4:$I$127)</f>
        <v>0</v>
      </c>
      <c r="J137" s="124">
        <f>SUMIF($E$4:$E$127,"520",$J$4:$J$127)</f>
        <v>0</v>
      </c>
      <c r="K137" s="123">
        <f>SUMIF($E$4:$E$127,"520",$K$4:$K$127)</f>
        <v>520000000</v>
      </c>
      <c r="L137" s="123">
        <f>SUMIF($E$4:$E$127,"520",$L$4:$L$127)</f>
        <v>50000000</v>
      </c>
      <c r="M137" s="123">
        <f>SUMIF($E$4:$E$127,"520",$M$4:$M$127)</f>
        <v>0</v>
      </c>
      <c r="N137" s="123">
        <f>SUMIF($E$4:$E$127,"520",$N$4:$N$127)</f>
        <v>0</v>
      </c>
      <c r="O137" s="123">
        <f>SUMIF($E$4:$E$127,"520",$O$4:$O$127)</f>
        <v>0</v>
      </c>
      <c r="P137" s="123">
        <f>SUMIF($E$4:$E$127,"520",$P$4:$P$127)</f>
        <v>0</v>
      </c>
      <c r="Q137" s="123">
        <f>SUMIF($E$4:$E$127,"520",$Q$4:$Q$127)</f>
        <v>0</v>
      </c>
      <c r="R137" s="123">
        <f>SUMIF($E$4:$E$127,"520",$R$4:$R$127)</f>
        <v>244000000</v>
      </c>
      <c r="S137" s="123">
        <f>SUMIF($E$4:$E$127,"520",$S$4:$S$127)</f>
        <v>333901442</v>
      </c>
      <c r="T137" s="123">
        <f>SUMIF($E$4:$E$127,"520",$T$4:$T$127)</f>
        <v>0</v>
      </c>
      <c r="U137" s="123">
        <f>SUMIF($E$4:$E$127,"520",$U$4:$U$127)</f>
        <v>0</v>
      </c>
      <c r="V137" s="123">
        <f>SUMIF($E$4:$E$119,"520",$V$4:$V$119)</f>
        <v>0</v>
      </c>
      <c r="W137" s="123"/>
      <c r="X137" s="123">
        <f>SUMIF($E$4:$E$127,"520",$X$4:$X$127)</f>
        <v>0</v>
      </c>
      <c r="Y137" s="123">
        <f>SUMIF($E$4:$E$127,"520",$Y$4:$Y$127)</f>
        <v>0</v>
      </c>
      <c r="Z137" s="123">
        <f>SUMIF($E$4:$E$127,"520",$Z$4:$Z$127)</f>
        <v>535595799</v>
      </c>
      <c r="AB137" s="126">
        <f t="shared" si="164"/>
        <v>0.79636670340108984</v>
      </c>
      <c r="AC137" s="30">
        <f t="shared" si="165"/>
        <v>1340681148</v>
      </c>
      <c r="AD137" s="124">
        <f>SUMIF($E$4:$E$127,"520",$AD$4:$AD$127)</f>
        <v>0</v>
      </c>
      <c r="AE137" s="124">
        <f>SUMIF($E$4:$E$127,"520",$AE$4:$AE$127)</f>
        <v>0</v>
      </c>
      <c r="AF137" s="124">
        <f>SUMIF($E$4:$E$127,"520",$AF$4:$AF$127)</f>
        <v>0</v>
      </c>
      <c r="AG137" s="124">
        <f>SUMIF($E$4:$E$127,"520",$AG$4:$AG$127)</f>
        <v>0</v>
      </c>
      <c r="AH137" s="124">
        <f>SUMIF($E$4:$E$127,"520",$AH$4:$AH$127)</f>
        <v>349598967</v>
      </c>
      <c r="AI137" s="124">
        <f>SUMIF($E$4:$E$127,"520",$AI$4:$AI$127)</f>
        <v>49214507</v>
      </c>
      <c r="AJ137" s="124">
        <f>SUMIF($E$4:$E$127,"520",$AJ$4:$AJ$127)</f>
        <v>0</v>
      </c>
      <c r="AK137" s="124">
        <f>SUMIF($E$4:$E$127,"520",$AK$4:$AK$127)</f>
        <v>0</v>
      </c>
      <c r="AL137" s="124">
        <f>SUMIF($E$4:$E$127,"520",$AL$4:$AL$127)</f>
        <v>0</v>
      </c>
      <c r="AM137" s="124">
        <f>SUMIF($E$4:$E$127,"520",$AM$4:$AM$127)</f>
        <v>0</v>
      </c>
      <c r="AN137" s="124">
        <f>SUMIF($E$4:$E$127,"520",$AN$4:$AN$127)</f>
        <v>0</v>
      </c>
      <c r="AO137" s="124">
        <f>SUMIF($E$4:$E$127,"520",$AO$4:$AO$127)</f>
        <v>187101991</v>
      </c>
      <c r="AP137" s="124">
        <f>SUMIF($E$4:$E$127,"520",$AP$4:$AP$127)</f>
        <v>261050876</v>
      </c>
      <c r="AQ137" s="124">
        <f>SUMIF($E$4:$E$127,"520",$AQ$4:$AQ$127)</f>
        <v>0</v>
      </c>
      <c r="AR137" s="124">
        <f>SUMIF($E$4:$E$127,"520",$AR$4:$AR$127)</f>
        <v>0</v>
      </c>
      <c r="AS137" s="124">
        <f>SUMIF($E$4:$E$127,"520",$AS$4:$AS$127)</f>
        <v>0</v>
      </c>
      <c r="AT137" s="124">
        <f>SUMIF($E$4:$E$127,"520",$AT$4:$AT$127)</f>
        <v>0</v>
      </c>
      <c r="AU137" s="124">
        <f>SUMIF($E$4:$E$127,"520",$AU$4:$AU$127)</f>
        <v>0</v>
      </c>
      <c r="AV137" s="124">
        <f>SUMIF($E$4:$E$127,"520",$AV$4:$AV$127)</f>
        <v>0</v>
      </c>
      <c r="AW137" s="124">
        <f>SUMIF($E$4:$E$127,"520",$AW$4:$AW$127)</f>
        <v>493714807</v>
      </c>
      <c r="AX137" s="109">
        <f t="shared" si="166"/>
        <v>0.20363329659891016</v>
      </c>
      <c r="AY137" s="30">
        <f t="shared" si="167"/>
        <v>342816093</v>
      </c>
      <c r="AZ137" s="127">
        <f>SUMIF($E$4:$E$127,"520",$AZ$4:$AZ$127)</f>
        <v>0</v>
      </c>
      <c r="BA137" s="127">
        <f>SUMIF($E$4:$E$127,"520",$BA$4:$BA$127)</f>
        <v>0</v>
      </c>
      <c r="BB137" s="127">
        <f>SUMIF($E$4:$E$127,"520",$BB$4:$BB$127)</f>
        <v>0</v>
      </c>
      <c r="BC137" s="127">
        <f>SUMIF($E$4:$E$127,"520",$BC$4:$BC$127)</f>
        <v>170401033</v>
      </c>
      <c r="BD137" s="127">
        <f>SUMIF($E$4:$E$127,"520",$BD$4:$BD$127)</f>
        <v>785493</v>
      </c>
      <c r="BE137" s="127">
        <f>SUMIF($E$4:$E$127,"520",$BE$4:$BE$127)</f>
        <v>0</v>
      </c>
      <c r="BF137" s="127">
        <f>SUMIF($E$4:$E$127,"520",$BF$4:$BF$127)</f>
        <v>0</v>
      </c>
      <c r="BG137" s="127">
        <f>SUMIF($E$4:$E$127,"520",$BG$4:$BG$127)</f>
        <v>0</v>
      </c>
      <c r="BH137" s="127">
        <f>SUMIF($E$4:$E$127,"520",$BH$4:$BH$127)</f>
        <v>0</v>
      </c>
      <c r="BI137" s="127">
        <f>SUMIF($E$4:$E$127,"520",$BI$4:$BI$127)</f>
        <v>0</v>
      </c>
      <c r="BJ137" s="127">
        <f>SUMIF($E$4:$E$127,"520",$BJ$4:$BJ$127)</f>
        <v>56898009</v>
      </c>
      <c r="BK137" s="127">
        <f>SUMIF($E$4:$E$127,"520",$BK$4:$BK$127)</f>
        <v>72850566</v>
      </c>
      <c r="BL137" s="127">
        <f>SUMIF($E$4:$E$127,"520",$BL$4:$BL$127)</f>
        <v>0</v>
      </c>
      <c r="BM137" s="127">
        <f>SUMIF($E$4:$E$127,"520",$BM$4:$BM$127)</f>
        <v>0</v>
      </c>
      <c r="BN137" s="127">
        <f>SUMIF($E$4:$E$127,"111",$BN$4:$BN$127)</f>
        <v>0</v>
      </c>
      <c r="BO137" s="127"/>
      <c r="BP137" s="127">
        <f>SUMIF($E$4:$E$127,"520",$BP$4:$BP$127)</f>
        <v>0</v>
      </c>
      <c r="BQ137" s="127">
        <f>SUMIF($E$4:$E$127,"520",$BQ$4:$BQ$127)</f>
        <v>0</v>
      </c>
      <c r="BR137" s="128">
        <f>SUMIF($E$4:$E$127,"520",$BR$4:$BR$127)</f>
        <v>41880992</v>
      </c>
      <c r="BS137" s="129">
        <f t="shared" si="168"/>
        <v>0.73669382449555199</v>
      </c>
      <c r="BT137" s="30">
        <f t="shared" si="169"/>
        <v>1240222021</v>
      </c>
      <c r="BU137" s="124">
        <f>SUMIF($E$4:$E$127,"520",$BU$4:$BU$127)</f>
        <v>0</v>
      </c>
      <c r="BV137" s="124">
        <f>SUMIF($E$4:$E$127,"520",$BV$4:$BV$127)</f>
        <v>0</v>
      </c>
      <c r="BW137" s="124">
        <f>SUMIF($E$4:$E$127,"520",$BW$4:$BW$127)</f>
        <v>0</v>
      </c>
      <c r="BX137" s="124">
        <f>SUMIF($E$4:$E$127,"520",$BX$4:$BX$127)</f>
        <v>0</v>
      </c>
      <c r="BY137" s="124">
        <f>SUMIF($E$4:$E$127,"520",$BY$4:$BY$127)</f>
        <v>310663409</v>
      </c>
      <c r="BZ137" s="124">
        <f>SUMIF($E$4:$E$127,"520",$BZ$4:$BZ$127)</f>
        <v>49214507</v>
      </c>
      <c r="CA137" s="124">
        <f>SUMIF($E$4:$E$127,"520",$CA$4:$CA$127)</f>
        <v>0</v>
      </c>
      <c r="CB137" s="124">
        <f>SUMIF($E$4:$E$127,"520",$CB$4:$CB$127)</f>
        <v>0</v>
      </c>
      <c r="CC137" s="124">
        <f>SUMIF($E$4:$E$127,"520",$CC$4:$CC$127)</f>
        <v>0</v>
      </c>
      <c r="CD137" s="124">
        <f>SUMIF($E$4:$E$127,"520",$CD$4:$CD$127)</f>
        <v>0</v>
      </c>
      <c r="CE137" s="124">
        <f>SUMIF($E$4:$E$127,"520",$CE$4:$CE$127)</f>
        <v>0</v>
      </c>
      <c r="CF137" s="124">
        <f>SUMIF($E$4:$E$127,"520",$CF$4:$CF$127)</f>
        <v>185375614</v>
      </c>
      <c r="CG137" s="124">
        <f>SUMIF($E$4:$E$127,"520",$CG$4:$CG$127)</f>
        <v>247744258</v>
      </c>
      <c r="CH137" s="124">
        <f>SUMIF($E$4:$E$127,"520",$CH$4:$CH$127)</f>
        <v>0</v>
      </c>
      <c r="CI137" s="124">
        <f>SUMIF($E$4:$E$127,"520",$CI$4:$CI$127)</f>
        <v>0</v>
      </c>
      <c r="CJ137" s="124">
        <f>SUMIF($E$4:$E$127,"520",$CJ$4:$CJ$127)</f>
        <v>0</v>
      </c>
      <c r="CK137" s="124">
        <f>SUMIF($E$4:$E$127,"111",$CK$4:$CK$127)</f>
        <v>0</v>
      </c>
      <c r="CL137" s="124">
        <f>SUMIF($E$4:$E$127,"520",$CL$4:$CL$127)</f>
        <v>0</v>
      </c>
      <c r="CM137" s="124">
        <f>SUMIF($E$4:$E$127,"520",$CM$4:$CM$127)</f>
        <v>0</v>
      </c>
      <c r="CN137" s="130">
        <f>SUMIF($E$4:$E$127,"520",$CN$4:$CN$127)</f>
        <v>447224233</v>
      </c>
      <c r="CO137" s="27">
        <f t="shared" si="170"/>
        <v>0.26330617550444801</v>
      </c>
      <c r="CP137" s="30">
        <f t="shared" si="171"/>
        <v>443275220</v>
      </c>
      <c r="CQ137" s="127">
        <f>SUMIF($E$4:$E$127,"520",$CQ$4:$CQ$127)</f>
        <v>0</v>
      </c>
      <c r="CR137" s="127">
        <f>SUMIF($E$4:$E$127,"520",$CR$4:$CR$127)</f>
        <v>0</v>
      </c>
      <c r="CS137" s="127">
        <f>SUMIF($E$4:$E$127,"520",$CS$4:$CS$127)</f>
        <v>0</v>
      </c>
      <c r="CT137" s="127">
        <f>SUMIF($E$4:$E$127,"520",$CT$4:$CT$127)</f>
        <v>209336591</v>
      </c>
      <c r="CU137" s="127">
        <f>SUMIF($E$4:$E$127,"520",$CU$4:$CU$127)</f>
        <v>785493</v>
      </c>
      <c r="CV137" s="127">
        <f>SUMIF($E$4:$E$127,"520",$CV$4:$CV$127)</f>
        <v>0</v>
      </c>
      <c r="CW137" s="131">
        <f>SUMIF($E$4:$E$127,"520",$CW$4:$CW$127)</f>
        <v>0</v>
      </c>
      <c r="CX137" s="131">
        <f>SUMIF($E$4:$E$127,"520",$CX$4:$CX$127)</f>
        <v>0</v>
      </c>
      <c r="CY137" s="131">
        <f>SUMIF($E$4:$E$127,"520",$CY$4:$CY$127)</f>
        <v>0</v>
      </c>
      <c r="CZ137" s="131">
        <f>SUMIF($E$4:$E$127,"520",$CZ$4:$CZ$127)</f>
        <v>0</v>
      </c>
      <c r="DA137" s="131">
        <f>SUMIF($E$4:$E$127,"520",$DA$4:$DA$127)</f>
        <v>58624386</v>
      </c>
      <c r="DB137" s="131">
        <f>SUMIF($E$4:$E$127,"520",$DB$4:$DB$127)</f>
        <v>86157184</v>
      </c>
      <c r="DC137" s="131">
        <f>SUMIF($E$4:$E$127,"520",$DC$4:$DC$127)</f>
        <v>0</v>
      </c>
      <c r="DD137" s="131">
        <f>SUMIF($E$4:$E$127,"520",$DD$4:$DD$127)</f>
        <v>0</v>
      </c>
      <c r="DE137" s="131">
        <f>SUMIF($E$4:$E$127,"520",$DE$4:$DE$127)</f>
        <v>0</v>
      </c>
      <c r="DF137" s="131">
        <f>SUMIF($E$4:$E$127,"520",$DF$4:$DF$127)</f>
        <v>0</v>
      </c>
      <c r="DG137" s="131">
        <f>SUMIF($E$4:$E$127,"520",$DG$4:$DG$127)</f>
        <v>0</v>
      </c>
      <c r="DH137" s="131">
        <f>SUMIF($E$4:$E$127,"520",$DH$4:$DH$127)</f>
        <v>0</v>
      </c>
      <c r="DI137" s="131">
        <f>SUMIF($E$4:$E$127,"520",$DI$4:$DI$127)</f>
        <v>88371566</v>
      </c>
    </row>
    <row r="138" spans="3:113" ht="25.5" x14ac:dyDescent="0.25">
      <c r="C138" s="133"/>
      <c r="D138" s="122" t="s">
        <v>368</v>
      </c>
      <c r="E138" s="115" t="s">
        <v>340</v>
      </c>
      <c r="F138" s="123"/>
      <c r="G138" s="124">
        <f>SUMIF($E$4:$E$127,"520-2",$G$4:$G$127)</f>
        <v>3185000000</v>
      </c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3">
        <f>SUMIF($E$4:$E$127,"520-2",$T$4:$T$127)</f>
        <v>485000000</v>
      </c>
      <c r="U138" s="125"/>
      <c r="V138" s="125"/>
      <c r="W138" s="125"/>
      <c r="X138" s="123">
        <f>SUMIF($E$4:$E$127,"520-2",$X$4:$X$127)</f>
        <v>2700000000</v>
      </c>
      <c r="Y138" s="125"/>
      <c r="Z138" s="123">
        <f>SUMIF($E$4:$E$127,"520-2",$Z$4:$Z$127)</f>
        <v>0</v>
      </c>
      <c r="AB138" s="126">
        <f t="shared" si="164"/>
        <v>1</v>
      </c>
      <c r="AC138" s="30">
        <f t="shared" si="165"/>
        <v>3185000000</v>
      </c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>
        <f>SUMIF($E$4:$E$127,"520-2",$AQ$4:$AQ$127)</f>
        <v>485000000</v>
      </c>
      <c r="AR138" s="124"/>
      <c r="AS138" s="124"/>
      <c r="AT138" s="124">
        <f>SUMIF($E$4:$E$127,"520-2",$AT$4:$AT$127)</f>
        <v>0</v>
      </c>
      <c r="AU138" s="124">
        <f>SUMIF($E$4:$E$127,"520-2",$AU$4:$AU$127)</f>
        <v>2700000000</v>
      </c>
      <c r="AV138" s="124"/>
      <c r="AW138" s="124"/>
      <c r="AX138" s="109">
        <f t="shared" si="166"/>
        <v>0</v>
      </c>
      <c r="AY138" s="30">
        <f t="shared" si="167"/>
        <v>0</v>
      </c>
      <c r="AZ138" s="127"/>
      <c r="BA138" s="127"/>
      <c r="BB138" s="127"/>
      <c r="BC138" s="127"/>
      <c r="BD138" s="127"/>
      <c r="BE138" s="127"/>
      <c r="BF138" s="127"/>
      <c r="BG138" s="127"/>
      <c r="BH138" s="127"/>
      <c r="BI138" s="127"/>
      <c r="BJ138" s="127"/>
      <c r="BK138" s="127"/>
      <c r="BL138" s="127">
        <f>SUMIF($E$4:$E$127,"520-2",$BL$4:$BL$127)</f>
        <v>0</v>
      </c>
      <c r="BM138" s="127"/>
      <c r="BN138" s="127"/>
      <c r="BO138" s="127"/>
      <c r="BP138" s="127">
        <f>SUMIF($E$4:$E$127,"520-2",$BP$4:$BP$127)</f>
        <v>0</v>
      </c>
      <c r="BQ138" s="127"/>
      <c r="BR138" s="128"/>
      <c r="BS138" s="129">
        <f t="shared" si="168"/>
        <v>0.28313953406593406</v>
      </c>
      <c r="BT138" s="30">
        <f>SUM(BU138:CN138)</f>
        <v>901799416</v>
      </c>
      <c r="BU138" s="130"/>
      <c r="BV138" s="130"/>
      <c r="BW138" s="130"/>
      <c r="BX138" s="130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>
        <f>SUMIF($E$4:$E$127,"520-2",$CH$4:$CH$127)</f>
        <v>472748357</v>
      </c>
      <c r="CI138" s="124"/>
      <c r="CJ138" s="124"/>
      <c r="CK138" s="124">
        <f>SUMIF($E$4:$E$127,"111",$CK$4:$CK$127)</f>
        <v>0</v>
      </c>
      <c r="CL138" s="124">
        <f>SUMIF($E$4:$E$127,"520-2",$CL$4:$CL$127)</f>
        <v>429051059</v>
      </c>
      <c r="CM138" s="124"/>
      <c r="CN138" s="130"/>
      <c r="CO138" s="27">
        <f t="shared" si="170"/>
        <v>0.71686046593406594</v>
      </c>
      <c r="CP138" s="30">
        <f t="shared" si="171"/>
        <v>2283200584</v>
      </c>
      <c r="CQ138" s="128"/>
      <c r="CR138" s="128"/>
      <c r="CS138" s="128"/>
      <c r="CT138" s="127"/>
      <c r="CU138" s="127"/>
      <c r="CV138" s="127"/>
      <c r="CW138" s="131"/>
      <c r="CX138" s="131"/>
      <c r="CY138" s="131"/>
      <c r="CZ138" s="131"/>
      <c r="DA138" s="131"/>
      <c r="DB138" s="131"/>
      <c r="DC138" s="131">
        <f>SUMIF($E$4:$E$127,"520-2",$DC$4:$DC$127)</f>
        <v>12251643</v>
      </c>
      <c r="DD138" s="131"/>
      <c r="DE138" s="131"/>
      <c r="DF138" s="131">
        <f>SUMIF($E$4:$E$127,"520-2",$DF$4:$DF$127)</f>
        <v>0</v>
      </c>
      <c r="DG138" s="131">
        <f>SUMIF($E$4:$E$127,"520-2",$DG$4:$DG$127)</f>
        <v>2270948941</v>
      </c>
      <c r="DH138" s="131"/>
      <c r="DI138" s="131"/>
    </row>
    <row r="139" spans="3:113" x14ac:dyDescent="0.25">
      <c r="C139" s="133"/>
      <c r="D139" s="122" t="s">
        <v>369</v>
      </c>
      <c r="E139" s="1"/>
      <c r="F139" s="135"/>
      <c r="G139" s="136">
        <f t="shared" ref="G139:Z139" si="172">SUM(G132:G138)</f>
        <v>20107905349</v>
      </c>
      <c r="H139" s="136">
        <f t="shared" si="172"/>
        <v>0</v>
      </c>
      <c r="I139" s="136">
        <f t="shared" si="172"/>
        <v>8458835637</v>
      </c>
      <c r="J139" s="136">
        <f t="shared" si="172"/>
        <v>171003327</v>
      </c>
      <c r="K139" s="136">
        <f t="shared" si="172"/>
        <v>1899736650</v>
      </c>
      <c r="L139" s="136">
        <f t="shared" si="172"/>
        <v>138372986</v>
      </c>
      <c r="M139" s="136">
        <f t="shared" si="172"/>
        <v>54387</v>
      </c>
      <c r="N139" s="136">
        <f t="shared" si="172"/>
        <v>30665828</v>
      </c>
      <c r="O139" s="136">
        <f t="shared" si="172"/>
        <v>1940856</v>
      </c>
      <c r="P139" s="136">
        <f t="shared" si="172"/>
        <v>3438802</v>
      </c>
      <c r="Q139" s="136">
        <f t="shared" si="172"/>
        <v>345941457</v>
      </c>
      <c r="R139" s="136">
        <f t="shared" si="172"/>
        <v>2046332849</v>
      </c>
      <c r="S139" s="136">
        <f t="shared" si="172"/>
        <v>1142029623</v>
      </c>
      <c r="T139" s="136">
        <f t="shared" si="172"/>
        <v>486796640</v>
      </c>
      <c r="U139" s="136">
        <f t="shared" si="172"/>
        <v>1054833768</v>
      </c>
      <c r="V139" s="136">
        <f t="shared" si="172"/>
        <v>0</v>
      </c>
      <c r="W139" s="136">
        <f t="shared" si="172"/>
        <v>51295383</v>
      </c>
      <c r="X139" s="136">
        <f t="shared" si="172"/>
        <v>2700000000</v>
      </c>
      <c r="Y139" s="136">
        <f t="shared" si="172"/>
        <v>204741836</v>
      </c>
      <c r="Z139" s="136">
        <f t="shared" si="172"/>
        <v>1371885320</v>
      </c>
      <c r="AA139" s="137">
        <f>SUM(AA132:AA137)</f>
        <v>0</v>
      </c>
      <c r="AB139" s="126">
        <f t="shared" si="164"/>
        <v>0.78789983864668922</v>
      </c>
      <c r="AC139" s="136">
        <f t="shared" ref="AC139:AW139" si="173">SUM(AC132:AC138)</f>
        <v>15843015380</v>
      </c>
      <c r="AD139" s="136">
        <f t="shared" si="173"/>
        <v>0</v>
      </c>
      <c r="AE139" s="136">
        <f t="shared" si="173"/>
        <v>0</v>
      </c>
      <c r="AF139" s="136">
        <f t="shared" si="173"/>
        <v>6187253098</v>
      </c>
      <c r="AG139" s="136">
        <f t="shared" si="173"/>
        <v>52484687</v>
      </c>
      <c r="AH139" s="136">
        <f t="shared" si="173"/>
        <v>1555661793</v>
      </c>
      <c r="AI139" s="136">
        <f t="shared" si="173"/>
        <v>106280280</v>
      </c>
      <c r="AJ139" s="136">
        <f t="shared" si="173"/>
        <v>0</v>
      </c>
      <c r="AK139" s="136">
        <f t="shared" si="173"/>
        <v>0</v>
      </c>
      <c r="AL139" s="136">
        <f t="shared" si="173"/>
        <v>0</v>
      </c>
      <c r="AM139" s="136">
        <f t="shared" si="173"/>
        <v>0</v>
      </c>
      <c r="AN139" s="136">
        <f t="shared" si="173"/>
        <v>164856575</v>
      </c>
      <c r="AO139" s="136">
        <f t="shared" si="173"/>
        <v>1950159311</v>
      </c>
      <c r="AP139" s="136">
        <f t="shared" si="173"/>
        <v>838849102</v>
      </c>
      <c r="AQ139" s="136">
        <f t="shared" si="173"/>
        <v>486796640</v>
      </c>
      <c r="AR139" s="136">
        <f t="shared" si="173"/>
        <v>832240418</v>
      </c>
      <c r="AS139" s="136">
        <f t="shared" si="173"/>
        <v>0</v>
      </c>
      <c r="AT139" s="136">
        <f t="shared" si="173"/>
        <v>51295383</v>
      </c>
      <c r="AU139" s="136">
        <f t="shared" si="173"/>
        <v>2700000000</v>
      </c>
      <c r="AV139" s="136">
        <f t="shared" si="173"/>
        <v>114321836</v>
      </c>
      <c r="AW139" s="136">
        <f t="shared" si="173"/>
        <v>802816257</v>
      </c>
      <c r="AX139" s="109">
        <f t="shared" si="166"/>
        <v>0.21210016135331078</v>
      </c>
      <c r="AY139" s="138">
        <f t="shared" ref="AY139:BR139" si="174">SUM(AY132:AY138)</f>
        <v>4264889969</v>
      </c>
      <c r="AZ139" s="138">
        <f t="shared" si="174"/>
        <v>0</v>
      </c>
      <c r="BA139" s="138">
        <f t="shared" si="174"/>
        <v>2271582539</v>
      </c>
      <c r="BB139" s="138">
        <f t="shared" si="174"/>
        <v>118518640</v>
      </c>
      <c r="BC139" s="138">
        <f t="shared" si="174"/>
        <v>344074857</v>
      </c>
      <c r="BD139" s="138">
        <f t="shared" si="174"/>
        <v>32092706</v>
      </c>
      <c r="BE139" s="138">
        <f t="shared" si="174"/>
        <v>54387</v>
      </c>
      <c r="BF139" s="138">
        <f t="shared" si="174"/>
        <v>30665828</v>
      </c>
      <c r="BG139" s="138">
        <f t="shared" si="174"/>
        <v>1940856</v>
      </c>
      <c r="BH139" s="138">
        <f t="shared" si="174"/>
        <v>3438802</v>
      </c>
      <c r="BI139" s="138">
        <f t="shared" si="174"/>
        <v>181084882</v>
      </c>
      <c r="BJ139" s="138">
        <f t="shared" si="174"/>
        <v>96173538</v>
      </c>
      <c r="BK139" s="138">
        <f t="shared" si="174"/>
        <v>303180521</v>
      </c>
      <c r="BL139" s="138">
        <f t="shared" si="174"/>
        <v>0</v>
      </c>
      <c r="BM139" s="138">
        <f t="shared" si="174"/>
        <v>222593350</v>
      </c>
      <c r="BN139" s="138">
        <f t="shared" si="174"/>
        <v>0</v>
      </c>
      <c r="BO139" s="138">
        <f t="shared" si="174"/>
        <v>0</v>
      </c>
      <c r="BP139" s="138">
        <f t="shared" si="174"/>
        <v>0</v>
      </c>
      <c r="BQ139" s="138">
        <f t="shared" si="174"/>
        <v>90420000</v>
      </c>
      <c r="BR139" s="138">
        <f t="shared" si="174"/>
        <v>569069063</v>
      </c>
      <c r="BS139" s="129">
        <f t="shared" si="168"/>
        <v>0.50921649526807711</v>
      </c>
      <c r="BT139" s="30">
        <f t="shared" ref="BT139:CN139" si="175">SUM(BT132:BT138)</f>
        <v>10239277089</v>
      </c>
      <c r="BU139" s="30">
        <f t="shared" si="175"/>
        <v>0</v>
      </c>
      <c r="BV139" s="30">
        <f t="shared" si="175"/>
        <v>0</v>
      </c>
      <c r="BW139" s="30">
        <f t="shared" si="175"/>
        <v>4209298530</v>
      </c>
      <c r="BX139" s="30">
        <f t="shared" si="175"/>
        <v>45348340</v>
      </c>
      <c r="BY139" s="30">
        <f t="shared" si="175"/>
        <v>1318852937</v>
      </c>
      <c r="BZ139" s="30">
        <f t="shared" si="175"/>
        <v>98718903</v>
      </c>
      <c r="CA139" s="30">
        <f t="shared" si="175"/>
        <v>0</v>
      </c>
      <c r="CB139" s="30">
        <f t="shared" si="175"/>
        <v>0</v>
      </c>
      <c r="CC139" s="30">
        <f t="shared" si="175"/>
        <v>0</v>
      </c>
      <c r="CD139" s="30">
        <f t="shared" si="175"/>
        <v>0</v>
      </c>
      <c r="CE139" s="30">
        <f t="shared" si="175"/>
        <v>94856575</v>
      </c>
      <c r="CF139" s="30">
        <f t="shared" si="175"/>
        <v>1270822002</v>
      </c>
      <c r="CG139" s="30">
        <f t="shared" si="175"/>
        <v>801245279</v>
      </c>
      <c r="CH139" s="30">
        <f t="shared" si="175"/>
        <v>474544997</v>
      </c>
      <c r="CI139" s="30">
        <f t="shared" si="175"/>
        <v>766242889</v>
      </c>
      <c r="CJ139" s="30">
        <f t="shared" si="175"/>
        <v>0</v>
      </c>
      <c r="CK139" s="30">
        <f t="shared" si="175"/>
        <v>0</v>
      </c>
      <c r="CL139" s="30">
        <f t="shared" si="175"/>
        <v>429051059</v>
      </c>
      <c r="CM139" s="30">
        <f t="shared" si="175"/>
        <v>23350298</v>
      </c>
      <c r="CN139" s="30">
        <f t="shared" si="175"/>
        <v>706945280</v>
      </c>
      <c r="CO139" s="27">
        <f t="shared" si="170"/>
        <v>0.49078350473192289</v>
      </c>
      <c r="CP139" s="136">
        <f t="shared" ref="CP139:DI139" ca="1" si="176">SUM(CP132:CP138)</f>
        <v>9868628260</v>
      </c>
      <c r="CQ139" s="136">
        <f t="shared" ca="1" si="176"/>
        <v>0</v>
      </c>
      <c r="CR139" s="136">
        <f t="shared" si="176"/>
        <v>4249537107</v>
      </c>
      <c r="CS139" s="136">
        <f t="shared" si="176"/>
        <v>125654987</v>
      </c>
      <c r="CT139" s="136">
        <f t="shared" si="176"/>
        <v>580883713</v>
      </c>
      <c r="CU139" s="136">
        <f t="shared" si="176"/>
        <v>39654083</v>
      </c>
      <c r="CV139" s="136">
        <f t="shared" si="176"/>
        <v>54387</v>
      </c>
      <c r="CW139" s="136">
        <f t="shared" si="176"/>
        <v>30665828</v>
      </c>
      <c r="CX139" s="136">
        <f t="shared" si="176"/>
        <v>1940856</v>
      </c>
      <c r="CY139" s="136">
        <f t="shared" si="176"/>
        <v>3438802</v>
      </c>
      <c r="CZ139" s="136">
        <f t="shared" si="176"/>
        <v>251084882</v>
      </c>
      <c r="DA139" s="136">
        <f t="shared" si="176"/>
        <v>775510847</v>
      </c>
      <c r="DB139" s="136">
        <f t="shared" si="176"/>
        <v>340784344</v>
      </c>
      <c r="DC139" s="136">
        <f t="shared" si="176"/>
        <v>12251643</v>
      </c>
      <c r="DD139" s="136">
        <f t="shared" si="176"/>
        <v>288590879</v>
      </c>
      <c r="DE139" s="136">
        <f t="shared" si="176"/>
        <v>0</v>
      </c>
      <c r="DF139" s="136">
        <f t="shared" si="176"/>
        <v>51295383</v>
      </c>
      <c r="DG139" s="136">
        <f t="shared" si="176"/>
        <v>2270948941</v>
      </c>
      <c r="DH139" s="136">
        <f t="shared" si="176"/>
        <v>181391538</v>
      </c>
      <c r="DI139" s="136">
        <f t="shared" si="176"/>
        <v>664940040</v>
      </c>
    </row>
    <row r="140" spans="3:113" x14ac:dyDescent="0.25">
      <c r="C140" s="133"/>
      <c r="D140" s="122" t="s">
        <v>259</v>
      </c>
      <c r="E140" s="139">
        <v>301</v>
      </c>
      <c r="F140" s="123"/>
      <c r="G140" s="124">
        <f>SUMIF($E$4:$E$127,"301",$G$4:$G$127)</f>
        <v>2606465655</v>
      </c>
      <c r="H140" s="125">
        <f>SUMIF($E$4:$E$127,"301",$H$4:$H$127)</f>
        <v>200000000</v>
      </c>
      <c r="I140" s="125">
        <f>SUMIF($E$4:$E$127,"301",$I$4:$I$127)</f>
        <v>268168096</v>
      </c>
      <c r="J140" s="124">
        <f>SUMIF($E$4:$E$127,"301",$J$4:$J$127)</f>
        <v>0</v>
      </c>
      <c r="K140" s="123">
        <f>SUMIF($E$4:$E$127,"301",$K$4:$K$127)</f>
        <v>701280247</v>
      </c>
      <c r="L140" s="123">
        <f>SUMIF($E$4:$E$127,"301",$L$4:$L$127)</f>
        <v>0</v>
      </c>
      <c r="M140" s="123">
        <f>SUMIF($E$4:$E$127,"301",$M$4:$M$127)</f>
        <v>0</v>
      </c>
      <c r="N140" s="123">
        <f>SUMIF($E$4:$E$127,"301",$N$4:$N$127)</f>
        <v>0</v>
      </c>
      <c r="O140" s="123">
        <f>SUMIF($E$4:$E$127,"301",$O$4:$O$127)</f>
        <v>0</v>
      </c>
      <c r="P140" s="123">
        <f>SUMIF($E$4:$E$127,"301",$P$4:$P$127)</f>
        <v>0</v>
      </c>
      <c r="Q140" s="123">
        <f>SUMIF($E$4:$E$127,"301",$Q$4:$Q$127)</f>
        <v>0</v>
      </c>
      <c r="R140" s="123">
        <f>SUMIF($E$4:$E$127,"301",$R$4:$R$127)</f>
        <v>0</v>
      </c>
      <c r="S140" s="123">
        <f>SUMIF($E$4:$E$127,"301",$S$4:$S$127)</f>
        <v>0</v>
      </c>
      <c r="T140" s="123">
        <f>SUMIF($E$4:$E$127,"301",$T$4:$T$127)</f>
        <v>0</v>
      </c>
      <c r="U140" s="123">
        <f>SUMIF($E$4:$E$127,"301",$U$4:$U$127)</f>
        <v>103185104</v>
      </c>
      <c r="V140" s="123">
        <f>SUMIF($E$4:$E$119,"301",$V$4:$V$119)</f>
        <v>1262551657</v>
      </c>
      <c r="W140" s="123"/>
      <c r="X140" s="123">
        <f>SUMIF($E$4:$E$119,"301",$X$4:$X$119)</f>
        <v>0</v>
      </c>
      <c r="Y140" s="123">
        <f>SUMIF($E$4:$E$127,"301",$Y$4:$Y$127)</f>
        <v>0</v>
      </c>
      <c r="Z140" s="123">
        <f>SUMIF($E$4:$E$127,"301",$Z$4:$Z$127)</f>
        <v>71280551</v>
      </c>
      <c r="AB140" s="126">
        <f t="shared" si="164"/>
        <v>0.86550847645832496</v>
      </c>
      <c r="AC140" s="30">
        <f>SUM(AE140:AW140)</f>
        <v>2255918118</v>
      </c>
      <c r="AD140" s="124">
        <f>SUMIF($E$4:$E$127,"301",$AD$4:$AD$127)</f>
        <v>0</v>
      </c>
      <c r="AE140" s="124">
        <f>SUMIF($E$4:$E$127,"301",$AE$4:$AE$127)</f>
        <v>200000000</v>
      </c>
      <c r="AF140" s="124">
        <f>SUMIF($E$4:$E$127,"301",$AF$4:$AF$127)</f>
        <v>268168096</v>
      </c>
      <c r="AG140" s="124">
        <f>SUMIF($E$4:$E$127,"301",$AG$4:$AG$127)</f>
        <v>0</v>
      </c>
      <c r="AH140" s="124">
        <f>SUMIF($E$4:$E$127,"301",$AH$4:$AH$127)</f>
        <v>701280247</v>
      </c>
      <c r="AI140" s="124">
        <f>SUMIF($E$4:$E$127,"301",$AI$4:$AI$127)</f>
        <v>0</v>
      </c>
      <c r="AJ140" s="124">
        <f>SUMIF($E$4:$E$127,"301",$AJ$4:$AJ$127)</f>
        <v>0</v>
      </c>
      <c r="AK140" s="124">
        <f>SUMIF($E$4:$E$127,"301",$AK$4:$AK$127)</f>
        <v>0</v>
      </c>
      <c r="AL140" s="124">
        <f>SUMIF($E$4:$E$127,"301",$AL$4:$AL$127)</f>
        <v>0</v>
      </c>
      <c r="AM140" s="124">
        <f>SUMIF($E$4:$E$127,"301",$AM$4:$AM$127)</f>
        <v>0</v>
      </c>
      <c r="AN140" s="124">
        <f>SUMIF($E$4:$E$127,"301",$AN$4:$AN$127)</f>
        <v>0</v>
      </c>
      <c r="AO140" s="124">
        <f>SUMIF($E$4:$E$127,"301",$AO$4:$AO$127)</f>
        <v>0</v>
      </c>
      <c r="AP140" s="124">
        <f>SUMIF($E$4:$E$127,"301",$AP$4:$AP$127)</f>
        <v>0</v>
      </c>
      <c r="AQ140" s="124">
        <f>SUMIF($E$4:$E$127,"301",$AQ$4:$AQ$127)</f>
        <v>0</v>
      </c>
      <c r="AR140" s="124">
        <f>SUMIF($E$4:$E$127,"301",$AR$4:$AR$127)</f>
        <v>47258973</v>
      </c>
      <c r="AS140" s="124">
        <f>SUMIF($E$4:$E$127,"301",$AS$4:$AS$127)</f>
        <v>1011320055</v>
      </c>
      <c r="AT140" s="124">
        <f>SUMIF($E$4:$E$127,"301",$AT$4:$AT$127)</f>
        <v>0</v>
      </c>
      <c r="AU140" s="124">
        <f>SUMIF($E$4:$E$127,"301",$AU$4:$AU$127)</f>
        <v>0</v>
      </c>
      <c r="AV140" s="124">
        <f>SUMIF($E$4:$E$127,"301",$AV$4:$AV$127)</f>
        <v>0</v>
      </c>
      <c r="AW140" s="124">
        <f>SUMIF($E$4:$E$127,"301",$AW$4:$AW$127)</f>
        <v>27890747</v>
      </c>
      <c r="AX140" s="109">
        <f t="shared" si="166"/>
        <v>0.13449152354167504</v>
      </c>
      <c r="AY140" s="30">
        <f>SUM(AZ140:BR140)</f>
        <v>350547537</v>
      </c>
      <c r="AZ140" s="127">
        <f>SUMIF($E$4:$E$127,"301",$AZ$4:$AZ$127)</f>
        <v>0</v>
      </c>
      <c r="BA140" s="127">
        <f>SUMIF($E$4:$E$127,"301",$BA$4:$BA$127)</f>
        <v>0</v>
      </c>
      <c r="BB140" s="127">
        <f>SUMIF($E$4:$E$127,"301",$BB$4:$BB$127)</f>
        <v>0</v>
      </c>
      <c r="BC140" s="127">
        <f>SUMIF($E$4:$E$127,"301",$BC$4:$BC$127)</f>
        <v>0</v>
      </c>
      <c r="BD140" s="127">
        <f>SUMIF($E$4:$E$127,"301",$BD$4:$BD$127)</f>
        <v>0</v>
      </c>
      <c r="BE140" s="127">
        <f>SUMIF($E$4:$E$127,"301",$BE$4:$BE$127)</f>
        <v>0</v>
      </c>
      <c r="BF140" s="127">
        <f>SUMIF($E$4:$E$127,"301",$BF$4:$BF$127)</f>
        <v>0</v>
      </c>
      <c r="BG140" s="127">
        <f>SUMIF($E$4:$E$127,"301",$BG$4:$BG$127)</f>
        <v>0</v>
      </c>
      <c r="BH140" s="127">
        <f>SUMIF($E$4:$E$127,"301",$BH$4:$BH$127)</f>
        <v>0</v>
      </c>
      <c r="BI140" s="127">
        <f>SUMIF($E$4:$E$127,"301",$BI$4:$BI$127)</f>
        <v>0</v>
      </c>
      <c r="BJ140" s="127">
        <f>SUMIF($E$4:$E$127,"301",$BJ$4:$BJ$127)</f>
        <v>0</v>
      </c>
      <c r="BK140" s="127">
        <f>SUMIF($E$4:$E$127,"301",$BK$4:$BK$127)</f>
        <v>0</v>
      </c>
      <c r="BL140" s="127">
        <f>SUMIF($E$4:$E$127,"301",$BL$4:$BL$127)</f>
        <v>0</v>
      </c>
      <c r="BM140" s="127">
        <f>SUMIF($E$4:$E$127,"301",$BM$4:$BM$127)</f>
        <v>55926131</v>
      </c>
      <c r="BN140" s="127">
        <f>SUMIF($E$4:$E$127,"301",$BN$4:$BN$127)</f>
        <v>251231602</v>
      </c>
      <c r="BO140" s="127"/>
      <c r="BP140" s="127">
        <f>SUMIF($E$4:$E$127,"301",$BP$4:$BP$127)</f>
        <v>0</v>
      </c>
      <c r="BQ140" s="127"/>
      <c r="BR140" s="128">
        <f>SUMIF($E$4:$E$127,"301",$BR$4:$BR$127)</f>
        <v>43389804</v>
      </c>
      <c r="BS140" s="129">
        <f t="shared" si="168"/>
        <v>0.83144427851668734</v>
      </c>
      <c r="BT140" s="30">
        <f>SUM(BV140:CN140)</f>
        <v>2167130956</v>
      </c>
      <c r="BU140" s="124">
        <f>SUMIF($E$4:$E$127,"111",$BU$4:$BU$127)</f>
        <v>0</v>
      </c>
      <c r="BV140" s="124">
        <f>SUMIF($E$4:$E$127,"301",$BV$4:$BV$127)</f>
        <v>198408143</v>
      </c>
      <c r="BW140" s="124">
        <f>SUMIF($E$4:$E$127,"301",$BW$4:$BW$127)</f>
        <v>268168096</v>
      </c>
      <c r="BX140" s="124">
        <f>SUMIF($E$4:$E$127,"301",$BX$4:$BX$127)</f>
        <v>0</v>
      </c>
      <c r="BY140" s="124">
        <f>SUMIF($E$4:$E$127,"301",$BY$4:$BY$127)</f>
        <v>701280247</v>
      </c>
      <c r="BZ140" s="124">
        <f>SUMIF($E$4:$E$127,"301",$BZ$4:$BZ$127)</f>
        <v>0</v>
      </c>
      <c r="CA140" s="124">
        <f>SUMIF($E$4:$E$127,"301",$CA$4:$CA$127)</f>
        <v>0</v>
      </c>
      <c r="CB140" s="124">
        <f>SUMIF($E$4:$E$127,"301",$CB$4:$CB$127)</f>
        <v>0</v>
      </c>
      <c r="CC140" s="124">
        <f>SUMIF($E$4:$E$127,"301",$CC$4:$CC$127)</f>
        <v>0</v>
      </c>
      <c r="CD140" s="124">
        <f>SUMIF($E$4:$E$127,"301",$CD$4:$CD$127)</f>
        <v>0</v>
      </c>
      <c r="CE140" s="124">
        <f>SUMIF($E$4:$E$127,"301",$CE$4:$CE$127)</f>
        <v>0</v>
      </c>
      <c r="CF140" s="124">
        <f>SUMIF($E$4:$E$127,"301",$CF$4:$CF$127)</f>
        <v>0</v>
      </c>
      <c r="CG140" s="124">
        <f>SUMIF($E$4:$E$127,"301",$CG$4:$CG$127)</f>
        <v>0</v>
      </c>
      <c r="CH140" s="124">
        <f>SUMIF($E$4:$E$127,"301",$CH$4:$CH$127)</f>
        <v>0</v>
      </c>
      <c r="CI140" s="124">
        <f>SUMIF($E$4:$E$127,"301",$CI$4:$CI$127)</f>
        <v>47258973</v>
      </c>
      <c r="CJ140" s="124">
        <f>SUMIF($E$4:$E$127,"301",$CJ$4:$CJ$127)</f>
        <v>925219270</v>
      </c>
      <c r="CK140" s="124">
        <f>SUMIF($E$4:$E$127,"301",$CK$4:$CK$127)</f>
        <v>0</v>
      </c>
      <c r="CL140" s="124">
        <f>SUMIF($E$4:$E$127,"301",$CL$4:$CL$127)</f>
        <v>0</v>
      </c>
      <c r="CM140" s="124">
        <f>SUMIF($E$4:$E$127,"301",$CM$4:$CM$127)</f>
        <v>0</v>
      </c>
      <c r="CN140" s="130">
        <f>SUMIF($E$4:$E$127,"301",$CN$4:$CN$127)</f>
        <v>26796227</v>
      </c>
      <c r="CO140" s="27">
        <f t="shared" si="170"/>
        <v>0.16855572148331266</v>
      </c>
      <c r="CP140" s="30">
        <f>SUM(CQ140:DI140)</f>
        <v>439334699</v>
      </c>
      <c r="CQ140" s="127">
        <f>SUMIF($E$4:$E$127,"301",$CQ$4:$CQ$127)</f>
        <v>1591857</v>
      </c>
      <c r="CR140" s="127">
        <f>SUMIF($E$4:$E$127,"301",$CR$4:$CR$127)</f>
        <v>0</v>
      </c>
      <c r="CS140" s="127">
        <f>SUMIF($E$4:$E$127,"301",$CS$4:$CS$127)</f>
        <v>0</v>
      </c>
      <c r="CT140" s="127">
        <f>SUMIF($E$4:$E$127,"301",$CT$4:$CT$127)</f>
        <v>0</v>
      </c>
      <c r="CU140" s="127">
        <f>SUMIF($E$4:$E$127,"301",$CU$4:$CU$127)</f>
        <v>0</v>
      </c>
      <c r="CV140" s="127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1">
        <f>SUMIF($E$4:$E$127,"301",$CZ$4:$CZ$127)</f>
        <v>0</v>
      </c>
      <c r="DA140" s="131">
        <f>SUMIF($E$4:$E$127,"301",$DA$4:$DA$127)</f>
        <v>0</v>
      </c>
      <c r="DB140" s="131">
        <f>SUMIF($E$4:$E$127,"301",$DB$4:$DB$127)</f>
        <v>0</v>
      </c>
      <c r="DC140" s="131">
        <f>SUMIF($E$4:$E$127,"301",$DC$4:$DC$127)</f>
        <v>0</v>
      </c>
      <c r="DD140" s="131">
        <f>SUMIF($E$4:$E$127,"301",$DD$4:$DD$127)</f>
        <v>55926131</v>
      </c>
      <c r="DE140" s="131">
        <f>SUMIF($E$4:$E$127,"301",$DE$4:$DE$127)</f>
        <v>337332387</v>
      </c>
      <c r="DF140" s="131">
        <f>SUMIF($E$4:$E$127,"301",$DF$4:$DF$127)</f>
        <v>0</v>
      </c>
      <c r="DG140" s="131">
        <f>SUMIF($E$4:$E$127,"301",$DG$4:$DG$127)</f>
        <v>0</v>
      </c>
      <c r="DH140" s="131">
        <f>SUMIF($E$4:$E$127,"301",$DH$4:$DH$127)</f>
        <v>0</v>
      </c>
      <c r="DI140" s="131">
        <f>SUMIF($E$4:$E$127,"301",$DI$4:$DI$127)</f>
        <v>44484324</v>
      </c>
    </row>
    <row r="141" spans="3:113" ht="15.75" thickBot="1" x14ac:dyDescent="0.3">
      <c r="C141" s="213" t="s">
        <v>370</v>
      </c>
      <c r="D141" s="214"/>
      <c r="E141" s="140"/>
      <c r="F141" s="141"/>
      <c r="G141" s="142">
        <f t="shared" ref="G141:AA141" si="177">SUM(G139:G140)</f>
        <v>22714371004</v>
      </c>
      <c r="H141" s="142">
        <f t="shared" si="177"/>
        <v>200000000</v>
      </c>
      <c r="I141" s="142">
        <f t="shared" si="177"/>
        <v>8727003733</v>
      </c>
      <c r="J141" s="142">
        <f t="shared" si="177"/>
        <v>171003327</v>
      </c>
      <c r="K141" s="142">
        <f t="shared" si="177"/>
        <v>2601016897</v>
      </c>
      <c r="L141" s="142">
        <f t="shared" si="177"/>
        <v>138372986</v>
      </c>
      <c r="M141" s="142">
        <f t="shared" si="177"/>
        <v>54387</v>
      </c>
      <c r="N141" s="142">
        <f t="shared" si="177"/>
        <v>30665828</v>
      </c>
      <c r="O141" s="142">
        <f t="shared" si="177"/>
        <v>1940856</v>
      </c>
      <c r="P141" s="142">
        <f t="shared" si="177"/>
        <v>3438802</v>
      </c>
      <c r="Q141" s="142">
        <f t="shared" si="177"/>
        <v>345941457</v>
      </c>
      <c r="R141" s="142">
        <f t="shared" si="177"/>
        <v>2046332849</v>
      </c>
      <c r="S141" s="142">
        <f t="shared" si="177"/>
        <v>1142029623</v>
      </c>
      <c r="T141" s="143">
        <f t="shared" si="177"/>
        <v>486796640</v>
      </c>
      <c r="U141" s="142">
        <f t="shared" si="177"/>
        <v>1158018872</v>
      </c>
      <c r="V141" s="142">
        <f t="shared" si="177"/>
        <v>1262551657</v>
      </c>
      <c r="W141" s="142">
        <f t="shared" si="177"/>
        <v>51295383</v>
      </c>
      <c r="X141" s="142">
        <f t="shared" si="177"/>
        <v>2700000000</v>
      </c>
      <c r="Y141" s="142">
        <f t="shared" si="177"/>
        <v>204741836</v>
      </c>
      <c r="Z141" s="142">
        <f t="shared" si="177"/>
        <v>1443165871</v>
      </c>
      <c r="AA141" s="142">
        <f t="shared" si="177"/>
        <v>0</v>
      </c>
      <c r="AB141" s="144">
        <f t="shared" si="164"/>
        <v>0.79680540107462272</v>
      </c>
      <c r="AC141" s="145">
        <f t="shared" ref="AC141:AW141" si="178">AC139+AC140</f>
        <v>18098933498</v>
      </c>
      <c r="AD141" s="145">
        <f t="shared" si="178"/>
        <v>0</v>
      </c>
      <c r="AE141" s="145">
        <f t="shared" si="178"/>
        <v>200000000</v>
      </c>
      <c r="AF141" s="145">
        <f t="shared" si="178"/>
        <v>6455421194</v>
      </c>
      <c r="AG141" s="145">
        <f t="shared" si="178"/>
        <v>52484687</v>
      </c>
      <c r="AH141" s="145">
        <f t="shared" si="178"/>
        <v>2256942040</v>
      </c>
      <c r="AI141" s="145">
        <f t="shared" si="178"/>
        <v>106280280</v>
      </c>
      <c r="AJ141" s="145">
        <f t="shared" si="178"/>
        <v>0</v>
      </c>
      <c r="AK141" s="145">
        <f t="shared" si="178"/>
        <v>0</v>
      </c>
      <c r="AL141" s="145">
        <f t="shared" si="178"/>
        <v>0</v>
      </c>
      <c r="AM141" s="145">
        <f t="shared" si="178"/>
        <v>0</v>
      </c>
      <c r="AN141" s="145">
        <f t="shared" si="178"/>
        <v>164856575</v>
      </c>
      <c r="AO141" s="145">
        <f t="shared" si="178"/>
        <v>1950159311</v>
      </c>
      <c r="AP141" s="145">
        <f t="shared" si="178"/>
        <v>838849102</v>
      </c>
      <c r="AQ141" s="145">
        <f t="shared" si="178"/>
        <v>486796640</v>
      </c>
      <c r="AR141" s="145">
        <f t="shared" si="178"/>
        <v>879499391</v>
      </c>
      <c r="AS141" s="145">
        <f t="shared" si="178"/>
        <v>1011320055</v>
      </c>
      <c r="AT141" s="145">
        <f t="shared" si="178"/>
        <v>51295383</v>
      </c>
      <c r="AU141" s="145">
        <f t="shared" si="178"/>
        <v>2700000000</v>
      </c>
      <c r="AV141" s="145">
        <f t="shared" si="178"/>
        <v>114321836</v>
      </c>
      <c r="AW141" s="145">
        <f t="shared" si="178"/>
        <v>830707004</v>
      </c>
      <c r="AX141" s="109">
        <f t="shared" si="166"/>
        <v>0.20319459892537728</v>
      </c>
      <c r="AY141" s="145">
        <f>AY139+AY140</f>
        <v>4615437506</v>
      </c>
      <c r="AZ141" s="145">
        <f>AZ139+AZ140</f>
        <v>0</v>
      </c>
      <c r="BA141" s="146">
        <f t="shared" ref="BA141:BR141" si="179">+BA139+BA140</f>
        <v>2271582539</v>
      </c>
      <c r="BB141" s="146">
        <f t="shared" si="179"/>
        <v>118518640</v>
      </c>
      <c r="BC141" s="146">
        <f t="shared" si="179"/>
        <v>344074857</v>
      </c>
      <c r="BD141" s="146">
        <f t="shared" si="179"/>
        <v>32092706</v>
      </c>
      <c r="BE141" s="146">
        <f t="shared" si="179"/>
        <v>54387</v>
      </c>
      <c r="BF141" s="146">
        <f t="shared" si="179"/>
        <v>30665828</v>
      </c>
      <c r="BG141" s="146">
        <f t="shared" si="179"/>
        <v>1940856</v>
      </c>
      <c r="BH141" s="146">
        <f t="shared" si="179"/>
        <v>3438802</v>
      </c>
      <c r="BI141" s="146">
        <f t="shared" si="179"/>
        <v>181084882</v>
      </c>
      <c r="BJ141" s="146">
        <f t="shared" si="179"/>
        <v>96173538</v>
      </c>
      <c r="BK141" s="146">
        <f t="shared" si="179"/>
        <v>303180521</v>
      </c>
      <c r="BL141" s="146">
        <f t="shared" si="179"/>
        <v>0</v>
      </c>
      <c r="BM141" s="146">
        <f t="shared" si="179"/>
        <v>278519481</v>
      </c>
      <c r="BN141" s="146">
        <f t="shared" si="179"/>
        <v>251231602</v>
      </c>
      <c r="BO141" s="146">
        <f t="shared" si="179"/>
        <v>0</v>
      </c>
      <c r="BP141" s="146">
        <f t="shared" si="179"/>
        <v>0</v>
      </c>
      <c r="BQ141" s="146">
        <f t="shared" si="179"/>
        <v>90420000</v>
      </c>
      <c r="BR141" s="146">
        <f t="shared" si="179"/>
        <v>612458867</v>
      </c>
      <c r="BS141" s="147">
        <f t="shared" si="168"/>
        <v>0.54619201398159922</v>
      </c>
      <c r="BT141" s="148">
        <f>+BT139+BT140</f>
        <v>12406408045</v>
      </c>
      <c r="BU141" s="146">
        <f>+BU139+BU140</f>
        <v>0</v>
      </c>
      <c r="BV141" s="146">
        <f>+BV139+BV140</f>
        <v>198408143</v>
      </c>
      <c r="BW141" s="146">
        <f>+BW139+BW140</f>
        <v>4477466626</v>
      </c>
      <c r="BX141" s="146">
        <f>+BX139+BX140</f>
        <v>45348340</v>
      </c>
      <c r="BY141" s="142">
        <f t="shared" ref="BY141:CN141" si="180">SUM(BY139:BY140)</f>
        <v>2020133184</v>
      </c>
      <c r="BZ141" s="142">
        <f t="shared" si="180"/>
        <v>98718903</v>
      </c>
      <c r="CA141" s="142">
        <f t="shared" si="180"/>
        <v>0</v>
      </c>
      <c r="CB141" s="142">
        <f t="shared" si="180"/>
        <v>0</v>
      </c>
      <c r="CC141" s="142">
        <f t="shared" si="180"/>
        <v>0</v>
      </c>
      <c r="CD141" s="142">
        <f t="shared" si="180"/>
        <v>0</v>
      </c>
      <c r="CE141" s="142">
        <f t="shared" si="180"/>
        <v>94856575</v>
      </c>
      <c r="CF141" s="142">
        <f t="shared" si="180"/>
        <v>1270822002</v>
      </c>
      <c r="CG141" s="142">
        <f t="shared" si="180"/>
        <v>801245279</v>
      </c>
      <c r="CH141" s="142">
        <f t="shared" si="180"/>
        <v>474544997</v>
      </c>
      <c r="CI141" s="142">
        <f t="shared" si="180"/>
        <v>813501862</v>
      </c>
      <c r="CJ141" s="142">
        <f t="shared" si="180"/>
        <v>925219270</v>
      </c>
      <c r="CK141" s="142">
        <f t="shared" si="180"/>
        <v>0</v>
      </c>
      <c r="CL141" s="142">
        <f t="shared" si="180"/>
        <v>429051059</v>
      </c>
      <c r="CM141" s="142">
        <f t="shared" si="180"/>
        <v>23350298</v>
      </c>
      <c r="CN141" s="149">
        <f t="shared" si="180"/>
        <v>733741507</v>
      </c>
      <c r="CO141" s="150">
        <f t="shared" si="170"/>
        <v>0.45380798601840078</v>
      </c>
      <c r="CP141" s="142">
        <f t="shared" ref="CP141:DI141" ca="1" si="181">SUM(CP139:CP140)</f>
        <v>10307962959</v>
      </c>
      <c r="CQ141" s="149">
        <f t="shared" ca="1" si="181"/>
        <v>1591857</v>
      </c>
      <c r="CR141" s="149">
        <f t="shared" si="181"/>
        <v>4249537107</v>
      </c>
      <c r="CS141" s="149">
        <f t="shared" si="181"/>
        <v>125654987</v>
      </c>
      <c r="CT141" s="142">
        <f t="shared" si="181"/>
        <v>580883713</v>
      </c>
      <c r="CU141" s="142">
        <f t="shared" si="181"/>
        <v>39654083</v>
      </c>
      <c r="CV141" s="142">
        <f t="shared" si="181"/>
        <v>54387</v>
      </c>
      <c r="CW141" s="151">
        <f t="shared" si="181"/>
        <v>30665828</v>
      </c>
      <c r="CX141" s="151">
        <f t="shared" si="181"/>
        <v>1940856</v>
      </c>
      <c r="CY141" s="151">
        <f t="shared" si="181"/>
        <v>3438802</v>
      </c>
      <c r="CZ141" s="151">
        <f t="shared" si="181"/>
        <v>251084882</v>
      </c>
      <c r="DA141" s="151">
        <f t="shared" si="181"/>
        <v>775510847</v>
      </c>
      <c r="DB141" s="151">
        <f t="shared" si="181"/>
        <v>340784344</v>
      </c>
      <c r="DC141" s="151">
        <f t="shared" si="181"/>
        <v>12251643</v>
      </c>
      <c r="DD141" s="151">
        <f t="shared" si="181"/>
        <v>344517010</v>
      </c>
      <c r="DE141" s="151">
        <f t="shared" si="181"/>
        <v>337332387</v>
      </c>
      <c r="DF141" s="151">
        <f t="shared" si="181"/>
        <v>51295383</v>
      </c>
      <c r="DG141" s="151">
        <f t="shared" si="181"/>
        <v>2270948941</v>
      </c>
      <c r="DH141" s="151">
        <f t="shared" si="181"/>
        <v>181391538</v>
      </c>
      <c r="DI141" s="151">
        <f t="shared" si="181"/>
        <v>709424364</v>
      </c>
    </row>
    <row r="142" spans="3:113" ht="15.75" thickTop="1" x14ac:dyDescent="0.25">
      <c r="G142" s="54">
        <f>+G130-G141</f>
        <v>0</v>
      </c>
      <c r="H142" s="54">
        <f t="shared" ref="H142:V142" si="182">+H130-H141</f>
        <v>0</v>
      </c>
      <c r="I142" s="54">
        <f t="shared" si="182"/>
        <v>0</v>
      </c>
      <c r="J142" s="54">
        <f t="shared" si="182"/>
        <v>0</v>
      </c>
      <c r="K142" s="54">
        <f t="shared" si="182"/>
        <v>0</v>
      </c>
      <c r="L142" s="54">
        <f t="shared" si="182"/>
        <v>0</v>
      </c>
      <c r="M142" s="54">
        <f t="shared" si="182"/>
        <v>0</v>
      </c>
      <c r="N142" s="54">
        <f t="shared" si="182"/>
        <v>0</v>
      </c>
      <c r="O142" s="54">
        <f t="shared" si="182"/>
        <v>0</v>
      </c>
      <c r="P142" s="54">
        <f t="shared" si="182"/>
        <v>0</v>
      </c>
      <c r="Q142" s="54">
        <f t="shared" si="182"/>
        <v>0</v>
      </c>
      <c r="R142" s="54">
        <f t="shared" si="182"/>
        <v>0</v>
      </c>
      <c r="S142" s="54">
        <f t="shared" si="182"/>
        <v>0</v>
      </c>
      <c r="T142" s="54">
        <f t="shared" si="182"/>
        <v>0</v>
      </c>
      <c r="U142" s="54">
        <f t="shared" si="182"/>
        <v>0</v>
      </c>
      <c r="V142" s="54">
        <f t="shared" si="182"/>
        <v>0</v>
      </c>
      <c r="W142" s="54"/>
      <c r="X142" s="54">
        <f>+X130-X141</f>
        <v>0</v>
      </c>
      <c r="Y142" s="54">
        <f>+Y130-Y141</f>
        <v>0</v>
      </c>
      <c r="Z142" s="54">
        <f>+Z130-Z141</f>
        <v>0</v>
      </c>
      <c r="AC142" s="54">
        <f t="shared" ref="AC142:AS142" si="183">+AC130-AC141</f>
        <v>0</v>
      </c>
      <c r="AD142" s="54">
        <f t="shared" si="183"/>
        <v>0</v>
      </c>
      <c r="AE142" s="54">
        <f t="shared" si="183"/>
        <v>0</v>
      </c>
      <c r="AF142" s="54">
        <f t="shared" si="183"/>
        <v>0</v>
      </c>
      <c r="AG142" s="54">
        <f t="shared" si="183"/>
        <v>0</v>
      </c>
      <c r="AH142" s="54">
        <f t="shared" si="183"/>
        <v>0</v>
      </c>
      <c r="AI142" s="54">
        <f t="shared" si="183"/>
        <v>0</v>
      </c>
      <c r="AJ142" s="54">
        <f t="shared" si="183"/>
        <v>0</v>
      </c>
      <c r="AK142" s="54">
        <f t="shared" si="183"/>
        <v>0</v>
      </c>
      <c r="AL142" s="54">
        <f t="shared" si="183"/>
        <v>0</v>
      </c>
      <c r="AM142" s="54">
        <f t="shared" si="183"/>
        <v>0</v>
      </c>
      <c r="AN142" s="54">
        <f t="shared" si="183"/>
        <v>0</v>
      </c>
      <c r="AO142" s="54">
        <f t="shared" si="183"/>
        <v>0</v>
      </c>
      <c r="AP142" s="54">
        <f t="shared" si="183"/>
        <v>0</v>
      </c>
      <c r="AQ142" s="54">
        <f t="shared" si="183"/>
        <v>0</v>
      </c>
      <c r="AR142" s="54">
        <f t="shared" si="183"/>
        <v>0</v>
      </c>
      <c r="AS142" s="54">
        <f t="shared" si="183"/>
        <v>0</v>
      </c>
      <c r="AT142" s="54"/>
      <c r="AU142" s="54">
        <f>+AU130-AU141</f>
        <v>0</v>
      </c>
      <c r="AV142" s="54">
        <f>+AV130-AV141</f>
        <v>0</v>
      </c>
      <c r="AW142" s="54">
        <f>+AW130-AW141</f>
        <v>0</v>
      </c>
      <c r="AY142" s="54">
        <f>+AY130-AY141</f>
        <v>0</v>
      </c>
      <c r="AZ142" s="54">
        <f t="shared" ref="AZ142:BN142" si="184">+AZ130-AZ141</f>
        <v>0</v>
      </c>
      <c r="BA142" s="54">
        <f t="shared" si="184"/>
        <v>0</v>
      </c>
      <c r="BB142" s="54">
        <f t="shared" si="184"/>
        <v>0</v>
      </c>
      <c r="BC142" s="54">
        <f t="shared" si="184"/>
        <v>0</v>
      </c>
      <c r="BD142" s="54">
        <f t="shared" si="184"/>
        <v>0</v>
      </c>
      <c r="BE142" s="54">
        <f t="shared" si="184"/>
        <v>0</v>
      </c>
      <c r="BF142" s="54">
        <f t="shared" si="184"/>
        <v>0</v>
      </c>
      <c r="BG142" s="54">
        <f t="shared" si="184"/>
        <v>0</v>
      </c>
      <c r="BH142" s="54">
        <f t="shared" si="184"/>
        <v>0</v>
      </c>
      <c r="BI142" s="54">
        <f t="shared" si="184"/>
        <v>0</v>
      </c>
      <c r="BJ142" s="54">
        <f t="shared" si="184"/>
        <v>0</v>
      </c>
      <c r="BK142" s="54">
        <f t="shared" si="184"/>
        <v>0</v>
      </c>
      <c r="BL142" s="54">
        <f t="shared" si="184"/>
        <v>0</v>
      </c>
      <c r="BM142" s="54">
        <f t="shared" si="184"/>
        <v>0</v>
      </c>
      <c r="BN142" s="54">
        <f t="shared" si="184"/>
        <v>0</v>
      </c>
      <c r="BO142" s="54"/>
      <c r="BP142" s="54">
        <f>+BP130-BP141</f>
        <v>0</v>
      </c>
      <c r="BQ142" s="54">
        <f>+BQ130-BQ141</f>
        <v>0</v>
      </c>
      <c r="BR142" s="54">
        <f>+BR130-BR141</f>
        <v>0</v>
      </c>
      <c r="BT142" s="54">
        <f>+BT130-BT141</f>
        <v>0</v>
      </c>
      <c r="BU142" s="54"/>
      <c r="BV142" s="54">
        <f t="shared" ref="BV142:CN142" si="185">+BV130-BV141</f>
        <v>0</v>
      </c>
      <c r="BW142" s="54">
        <f t="shared" si="185"/>
        <v>0</v>
      </c>
      <c r="BX142" s="54">
        <f t="shared" si="185"/>
        <v>0</v>
      </c>
      <c r="BY142" s="54">
        <f t="shared" si="185"/>
        <v>0</v>
      </c>
      <c r="BZ142" s="54">
        <f t="shared" si="185"/>
        <v>0</v>
      </c>
      <c r="CA142" s="54">
        <f t="shared" si="185"/>
        <v>0</v>
      </c>
      <c r="CB142" s="54">
        <f t="shared" si="185"/>
        <v>0</v>
      </c>
      <c r="CC142" s="54">
        <f t="shared" si="185"/>
        <v>0</v>
      </c>
      <c r="CD142" s="54">
        <f t="shared" si="185"/>
        <v>0</v>
      </c>
      <c r="CE142" s="54">
        <f t="shared" si="185"/>
        <v>0</v>
      </c>
      <c r="CF142" s="54">
        <f t="shared" si="185"/>
        <v>0</v>
      </c>
      <c r="CG142" s="54">
        <f t="shared" si="185"/>
        <v>0</v>
      </c>
      <c r="CH142" s="54">
        <f t="shared" si="185"/>
        <v>0</v>
      </c>
      <c r="CI142" s="54">
        <f t="shared" si="185"/>
        <v>0</v>
      </c>
      <c r="CJ142" s="54">
        <f t="shared" si="185"/>
        <v>0</v>
      </c>
      <c r="CK142" s="54">
        <f t="shared" si="185"/>
        <v>0</v>
      </c>
      <c r="CL142" s="54">
        <f t="shared" si="185"/>
        <v>0</v>
      </c>
      <c r="CM142" s="54">
        <f t="shared" si="185"/>
        <v>0</v>
      </c>
      <c r="CN142" s="54">
        <f t="shared" si="185"/>
        <v>0</v>
      </c>
      <c r="CO142" s="54"/>
      <c r="CP142" s="54">
        <f ca="1">+CP130-CP141</f>
        <v>0</v>
      </c>
      <c r="CQ142" s="54">
        <f t="shared" ref="CQ142:DI142" ca="1" si="186">+CQ130-CQ141</f>
        <v>0</v>
      </c>
      <c r="CR142" s="54">
        <f t="shared" si="186"/>
        <v>0</v>
      </c>
      <c r="CS142" s="54">
        <f t="shared" si="186"/>
        <v>0</v>
      </c>
      <c r="CT142" s="54">
        <f t="shared" si="186"/>
        <v>0</v>
      </c>
      <c r="CU142" s="54">
        <f t="shared" si="186"/>
        <v>0</v>
      </c>
      <c r="CV142" s="54">
        <f t="shared" si="186"/>
        <v>0</v>
      </c>
      <c r="CW142" s="54">
        <f t="shared" si="186"/>
        <v>0</v>
      </c>
      <c r="CX142" s="54">
        <f t="shared" si="186"/>
        <v>0</v>
      </c>
      <c r="CY142" s="54">
        <f t="shared" si="186"/>
        <v>0</v>
      </c>
      <c r="CZ142" s="54">
        <f t="shared" si="186"/>
        <v>0</v>
      </c>
      <c r="DA142" s="54">
        <f t="shared" si="186"/>
        <v>0</v>
      </c>
      <c r="DB142" s="54">
        <f t="shared" si="186"/>
        <v>0</v>
      </c>
      <c r="DC142" s="54">
        <f t="shared" si="186"/>
        <v>0</v>
      </c>
      <c r="DD142" s="54">
        <f t="shared" si="186"/>
        <v>0</v>
      </c>
      <c r="DE142" s="54">
        <f t="shared" si="186"/>
        <v>0</v>
      </c>
      <c r="DF142" s="54">
        <f t="shared" si="186"/>
        <v>0</v>
      </c>
      <c r="DG142" s="54">
        <f t="shared" si="186"/>
        <v>0</v>
      </c>
      <c r="DH142" s="54">
        <f t="shared" si="186"/>
        <v>0</v>
      </c>
      <c r="DI142" s="54">
        <f t="shared" si="186"/>
        <v>0</v>
      </c>
    </row>
    <row r="143" spans="3:113" x14ac:dyDescent="0.25">
      <c r="F143" s="54"/>
    </row>
    <row r="144" spans="3:113" x14ac:dyDescent="0.25">
      <c r="F144" s="54"/>
      <c r="G144" s="54">
        <v>22714371004</v>
      </c>
      <c r="H144" s="54"/>
    </row>
    <row r="148" spans="94:94" x14ac:dyDescent="0.25">
      <c r="CP148" s="54"/>
    </row>
    <row r="149" spans="94:94" x14ac:dyDescent="0.25">
      <c r="CP149" s="240"/>
    </row>
  </sheetData>
  <mergeCells count="60">
    <mergeCell ref="A122:A127"/>
    <mergeCell ref="B122:B124"/>
    <mergeCell ref="B128:D128"/>
    <mergeCell ref="C130:E130"/>
    <mergeCell ref="C141:D141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CP2:CY2"/>
    <mergeCell ref="CZ2:DI2"/>
    <mergeCell ref="B4:B6"/>
    <mergeCell ref="B8:B12"/>
    <mergeCell ref="B14:B16"/>
    <mergeCell ref="BV2:CE2"/>
    <mergeCell ref="CG2:CN2"/>
    <mergeCell ref="B18:B19"/>
    <mergeCell ref="G2:Z2"/>
    <mergeCell ref="AC2:AW2"/>
    <mergeCell ref="AZ2:BH2"/>
    <mergeCell ref="BI2:BR2"/>
    <mergeCell ref="F2:F3"/>
    <mergeCell ref="A2:A3"/>
    <mergeCell ref="B2:B3"/>
    <mergeCell ref="C2:C3"/>
    <mergeCell ref="D2:D3"/>
    <mergeCell ref="E2:E3"/>
    <mergeCell ref="CP1:DI1"/>
    <mergeCell ref="C1:F1"/>
    <mergeCell ref="G1:Z1"/>
    <mergeCell ref="AC1:AW1"/>
    <mergeCell ref="AZ1:BS1"/>
    <mergeCell ref="BT1:CN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44"/>
  <sheetViews>
    <sheetView showGridLines="0" zoomScaleNormal="100" zoomScalePageLayoutView="50" workbookViewId="0">
      <pane xSplit="3" ySplit="3" topLeftCell="D28" activePane="bottomRight" state="frozen"/>
      <selection activeCell="C1" sqref="C1"/>
      <selection pane="topRight" activeCell="D1" sqref="D1"/>
      <selection pane="bottomLeft" activeCell="C4" sqref="C4"/>
      <selection pane="bottomRight" activeCell="DK1" sqref="DK1:DM1048576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62.140625" bestFit="1" customWidth="1"/>
    <col min="5" max="5" width="6.28515625" customWidth="1"/>
    <col min="6" max="6" width="14.28515625" hidden="1" customWidth="1"/>
    <col min="7" max="7" width="13.7109375" bestFit="1" customWidth="1"/>
    <col min="8" max="8" width="11.42578125" hidden="1" customWidth="1"/>
    <col min="9" max="9" width="14.8554687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2.7109375" hidden="1" customWidth="1"/>
    <col min="25" max="26" width="12.28515625" hidden="1" customWidth="1"/>
    <col min="27" max="27" width="2" hidden="1" customWidth="1"/>
    <col min="28" max="28" width="8.28515625" customWidth="1"/>
    <col min="29" max="29" width="14.42578125" customWidth="1"/>
    <col min="30" max="30" width="14.42578125" hidden="1" customWidth="1"/>
    <col min="31" max="31" width="13.5703125" hidden="1" customWidth="1"/>
    <col min="32" max="32" width="14" hidden="1" customWidth="1"/>
    <col min="33" max="33" width="17.28515625" hidden="1" customWidth="1"/>
    <col min="34" max="34" width="16.140625" hidden="1" customWidth="1"/>
    <col min="35" max="36" width="15" hidden="1" customWidth="1"/>
    <col min="37" max="37" width="11.7109375" hidden="1" customWidth="1"/>
    <col min="38" max="38" width="13.28515625" hidden="1" customWidth="1"/>
    <col min="39" max="39" width="12.5703125" hidden="1" customWidth="1"/>
    <col min="40" max="40" width="14.42578125" hidden="1" customWidth="1"/>
    <col min="41" max="41" width="14.140625" hidden="1" customWidth="1"/>
    <col min="42" max="42" width="13.28515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.85546875" customWidth="1"/>
    <col min="51" max="51" width="12.7109375" bestFit="1" customWidth="1"/>
    <col min="52" max="52" width="14.5703125" hidden="1" customWidth="1"/>
    <col min="53" max="53" width="15.140625" hidden="1" customWidth="1"/>
    <col min="54" max="54" width="14.42578125" hidden="1" customWidth="1"/>
    <col min="55" max="55" width="11.28515625" hidden="1" customWidth="1"/>
    <col min="56" max="56" width="13.85546875" hidden="1" customWidth="1"/>
    <col min="57" max="57" width="10" hidden="1" customWidth="1"/>
    <col min="58" max="58" width="11" hidden="1" customWidth="1"/>
    <col min="59" max="60" width="9.28515625" hidden="1" customWidth="1"/>
    <col min="61" max="61" width="12.5703125" hidden="1" customWidth="1"/>
    <col min="62" max="62" width="13.5703125" hidden="1" customWidth="1"/>
    <col min="63" max="63" width="15.140625" hidden="1" customWidth="1"/>
    <col min="64" max="64" width="13.85546875" hidden="1" customWidth="1"/>
    <col min="65" max="65" width="15" hidden="1" customWidth="1"/>
    <col min="66" max="67" width="13.42578125" hidden="1" customWidth="1"/>
    <col min="68" max="68" width="13.5703125" hidden="1" customWidth="1"/>
    <col min="69" max="69" width="13.7109375" hidden="1" customWidth="1"/>
    <col min="70" max="70" width="14" hidden="1" customWidth="1"/>
    <col min="71" max="71" width="10.28515625" customWidth="1"/>
    <col min="72" max="72" width="14" customWidth="1"/>
    <col min="73" max="73" width="14" hidden="1" customWidth="1"/>
    <col min="74" max="74" width="12.28515625" hidden="1" customWidth="1"/>
    <col min="75" max="75" width="13.28515625" hidden="1" customWidth="1"/>
    <col min="76" max="76" width="14" hidden="1" customWidth="1"/>
    <col min="77" max="77" width="15.42578125" hidden="1" customWidth="1"/>
    <col min="78" max="78" width="15.28515625" hidden="1" customWidth="1"/>
    <col min="79" max="79" width="12.42578125" hidden="1" customWidth="1"/>
    <col min="80" max="80" width="11.7109375" hidden="1" customWidth="1"/>
    <col min="81" max="81" width="13.42578125" hidden="1" customWidth="1"/>
    <col min="82" max="82" width="11.42578125" hidden="1" customWidth="1"/>
    <col min="83" max="83" width="15.7109375" hidden="1" customWidth="1"/>
    <col min="84" max="84" width="16.28515625" hidden="1" customWidth="1"/>
    <col min="85" max="85" width="16.5703125" hidden="1" customWidth="1"/>
    <col min="86" max="86" width="17.140625" hidden="1" customWidth="1"/>
    <col min="87" max="87" width="13" hidden="1" customWidth="1"/>
    <col min="88" max="89" width="14.28515625" hidden="1" customWidth="1"/>
    <col min="90" max="90" width="13.7109375" hidden="1" customWidth="1"/>
    <col min="91" max="91" width="12.28515625" hidden="1" customWidth="1"/>
    <col min="92" max="92" width="13.42578125" hidden="1" customWidth="1"/>
    <col min="93" max="93" width="9.7109375" customWidth="1"/>
    <col min="94" max="94" width="15" customWidth="1"/>
    <col min="95" max="95" width="13.7109375" hidden="1" customWidth="1"/>
    <col min="96" max="96" width="14.42578125" hidden="1" customWidth="1"/>
    <col min="97" max="97" width="15.5703125" hidden="1" customWidth="1"/>
    <col min="98" max="100" width="13.5703125" hidden="1" customWidth="1"/>
    <col min="101" max="102" width="13.85546875" hidden="1" customWidth="1"/>
    <col min="103" max="103" width="11.42578125" hidden="1" customWidth="1"/>
    <col min="104" max="104" width="13.7109375" hidden="1" customWidth="1"/>
    <col min="105" max="105" width="13.85546875" hidden="1" customWidth="1"/>
    <col min="106" max="106" width="12.28515625" hidden="1" customWidth="1"/>
    <col min="107" max="107" width="13.85546875" hidden="1" customWidth="1"/>
    <col min="108" max="108" width="13.28515625" hidden="1" customWidth="1"/>
    <col min="109" max="110" width="14.42578125" hidden="1" customWidth="1"/>
    <col min="111" max="112" width="14.85546875" hidden="1" customWidth="1"/>
    <col min="113" max="113" width="13.5703125" hidden="1" customWidth="1"/>
    <col min="114" max="114" width="5.140625" customWidth="1"/>
  </cols>
  <sheetData>
    <row r="1" spans="1:113" ht="15" customHeight="1" x14ac:dyDescent="0.3">
      <c r="C1" s="158" t="s">
        <v>0</v>
      </c>
      <c r="D1" s="158"/>
      <c r="E1" s="158"/>
      <c r="F1" s="158"/>
      <c r="G1" s="215" t="s">
        <v>11</v>
      </c>
      <c r="H1" s="215" t="s">
        <v>11</v>
      </c>
      <c r="I1" s="215" t="s">
        <v>11</v>
      </c>
      <c r="J1" s="215" t="s">
        <v>11</v>
      </c>
      <c r="K1" s="215" t="s">
        <v>11</v>
      </c>
      <c r="L1" s="215" t="s">
        <v>11</v>
      </c>
      <c r="M1" s="215" t="s">
        <v>11</v>
      </c>
      <c r="N1" s="215" t="s">
        <v>11</v>
      </c>
      <c r="O1" s="215" t="s">
        <v>11</v>
      </c>
      <c r="P1" s="215" t="s">
        <v>11</v>
      </c>
      <c r="Q1" s="215" t="s">
        <v>11</v>
      </c>
      <c r="R1" s="215" t="s">
        <v>11</v>
      </c>
      <c r="S1" s="215" t="s">
        <v>11</v>
      </c>
      <c r="T1" s="215" t="s">
        <v>11</v>
      </c>
      <c r="U1" s="215" t="s">
        <v>11</v>
      </c>
      <c r="V1" s="215" t="s">
        <v>11</v>
      </c>
      <c r="W1" s="215" t="s">
        <v>11</v>
      </c>
      <c r="X1" s="215" t="s">
        <v>11</v>
      </c>
      <c r="Y1" s="215" t="s">
        <v>11</v>
      </c>
      <c r="Z1" s="215" t="s">
        <v>11</v>
      </c>
      <c r="AA1" s="215" t="s">
        <v>11</v>
      </c>
      <c r="AB1" s="218" t="s">
        <v>371</v>
      </c>
      <c r="AC1" s="219"/>
      <c r="AD1" s="218" t="s">
        <v>371</v>
      </c>
      <c r="AE1" s="219"/>
      <c r="AF1" s="218" t="s">
        <v>371</v>
      </c>
      <c r="AG1" s="219"/>
      <c r="AH1" s="218" t="s">
        <v>371</v>
      </c>
      <c r="AI1" s="219"/>
      <c r="AJ1" s="218" t="s">
        <v>371</v>
      </c>
      <c r="AK1" s="219"/>
      <c r="AL1" s="218" t="s">
        <v>371</v>
      </c>
      <c r="AM1" s="219"/>
      <c r="AN1" s="218" t="s">
        <v>371</v>
      </c>
      <c r="AO1" s="219"/>
      <c r="AP1" s="218" t="s">
        <v>371</v>
      </c>
      <c r="AQ1" s="219"/>
      <c r="AR1" s="218" t="s">
        <v>371</v>
      </c>
      <c r="AS1" s="219"/>
      <c r="AT1" s="218" t="s">
        <v>371</v>
      </c>
      <c r="AU1" s="219"/>
      <c r="AV1" s="218" t="s">
        <v>371</v>
      </c>
      <c r="AW1" s="219"/>
      <c r="AX1" s="223" t="s">
        <v>373</v>
      </c>
      <c r="AY1" s="224"/>
      <c r="AZ1" s="235" t="s">
        <v>374</v>
      </c>
      <c r="BA1" s="235"/>
      <c r="BB1" s="228"/>
      <c r="BC1" s="228"/>
      <c r="BD1" s="228"/>
      <c r="BE1" s="228"/>
      <c r="BF1" s="228"/>
      <c r="BG1" s="228"/>
      <c r="BH1" s="228"/>
      <c r="BI1" s="228"/>
      <c r="BJ1" s="228"/>
      <c r="BK1" s="228"/>
      <c r="BL1" s="228"/>
      <c r="BM1" s="228"/>
      <c r="BN1" s="228"/>
      <c r="BO1" s="228"/>
      <c r="BP1" s="228"/>
      <c r="BQ1" s="228"/>
      <c r="BR1" s="228"/>
      <c r="BS1" s="218" t="s">
        <v>374</v>
      </c>
      <c r="BT1" s="219"/>
      <c r="BU1" s="228"/>
      <c r="BV1" s="228"/>
      <c r="BW1" s="228"/>
      <c r="BX1" s="228"/>
      <c r="BY1" s="228"/>
      <c r="BZ1" s="228"/>
      <c r="CA1" s="228"/>
      <c r="CB1" s="228"/>
      <c r="CC1" s="228"/>
      <c r="CD1" s="228"/>
      <c r="CE1" s="228"/>
      <c r="CF1" s="228"/>
      <c r="CG1" s="228"/>
      <c r="CH1" s="228"/>
      <c r="CI1" s="228"/>
      <c r="CJ1" s="228"/>
      <c r="CK1" s="228"/>
      <c r="CL1" s="228"/>
      <c r="CM1" s="228"/>
      <c r="CN1" s="229"/>
      <c r="CO1" s="236" t="s">
        <v>375</v>
      </c>
      <c r="CP1" s="237"/>
      <c r="CQ1" s="228"/>
      <c r="CR1" s="228"/>
      <c r="CS1" s="228"/>
      <c r="CT1" s="228"/>
      <c r="CU1" s="228"/>
      <c r="CV1" s="228"/>
      <c r="CW1" s="228"/>
      <c r="CX1" s="228"/>
      <c r="CY1" s="228"/>
      <c r="CZ1" s="228"/>
      <c r="DA1" s="228"/>
      <c r="DB1" s="228"/>
      <c r="DC1" s="228"/>
      <c r="DD1" s="228"/>
      <c r="DE1" s="228"/>
      <c r="DF1" s="228"/>
      <c r="DG1" s="228"/>
      <c r="DH1" s="228"/>
      <c r="DI1" s="228"/>
    </row>
    <row r="2" spans="1:113" ht="22.5" customHeight="1" x14ac:dyDescent="0.25">
      <c r="A2" s="164" t="s">
        <v>5</v>
      </c>
      <c r="B2" s="164" t="s">
        <v>6</v>
      </c>
      <c r="C2" s="165" t="s">
        <v>7</v>
      </c>
      <c r="D2" s="164" t="s">
        <v>8</v>
      </c>
      <c r="E2" s="167" t="s">
        <v>9</v>
      </c>
      <c r="F2" s="180" t="s">
        <v>10</v>
      </c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20"/>
      <c r="AC2" s="221"/>
      <c r="AD2" s="220"/>
      <c r="AE2" s="221"/>
      <c r="AF2" s="220"/>
      <c r="AG2" s="221"/>
      <c r="AH2" s="220"/>
      <c r="AI2" s="221"/>
      <c r="AJ2" s="220"/>
      <c r="AK2" s="221"/>
      <c r="AL2" s="220"/>
      <c r="AM2" s="221"/>
      <c r="AN2" s="220"/>
      <c r="AO2" s="221"/>
      <c r="AP2" s="220"/>
      <c r="AQ2" s="221"/>
      <c r="AR2" s="220"/>
      <c r="AS2" s="221"/>
      <c r="AT2" s="220"/>
      <c r="AU2" s="221"/>
      <c r="AV2" s="220"/>
      <c r="AW2" s="221"/>
      <c r="AX2" s="225"/>
      <c r="AY2" s="226"/>
      <c r="AZ2" s="235"/>
      <c r="BA2" s="235"/>
      <c r="BB2" s="231"/>
      <c r="BC2" s="231"/>
      <c r="BD2" s="231"/>
      <c r="BE2" s="231"/>
      <c r="BF2" s="231"/>
      <c r="BG2" s="231"/>
      <c r="BH2" s="232"/>
      <c r="BI2" s="230" t="s">
        <v>13</v>
      </c>
      <c r="BJ2" s="231"/>
      <c r="BK2" s="231"/>
      <c r="BL2" s="231"/>
      <c r="BM2" s="231"/>
      <c r="BN2" s="231"/>
      <c r="BO2" s="231"/>
      <c r="BP2" s="231"/>
      <c r="BQ2" s="231"/>
      <c r="BR2" s="232"/>
      <c r="BS2" s="220"/>
      <c r="BT2" s="221"/>
      <c r="BU2" s="10"/>
      <c r="BV2" s="233" t="s">
        <v>14</v>
      </c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233" t="s">
        <v>14</v>
      </c>
      <c r="CH2" s="11"/>
      <c r="CI2" s="11"/>
      <c r="CJ2" s="11"/>
      <c r="CK2" s="11"/>
      <c r="CL2" s="11"/>
      <c r="CM2" s="11"/>
      <c r="CN2" s="234"/>
      <c r="CO2" s="238"/>
      <c r="CP2" s="239"/>
      <c r="CQ2" s="231"/>
      <c r="CR2" s="231"/>
      <c r="CS2" s="231"/>
      <c r="CT2" s="231"/>
      <c r="CU2" s="231"/>
      <c r="CV2" s="231"/>
      <c r="CW2" s="231"/>
      <c r="CX2" s="231"/>
      <c r="CY2" s="231"/>
      <c r="CZ2" s="231" t="s">
        <v>13</v>
      </c>
      <c r="DA2" s="231"/>
      <c r="DB2" s="231"/>
      <c r="DC2" s="231"/>
      <c r="DD2" s="231"/>
      <c r="DE2" s="231"/>
      <c r="DF2" s="231"/>
      <c r="DG2" s="231"/>
      <c r="DH2" s="231"/>
      <c r="DI2" s="232"/>
    </row>
    <row r="3" spans="1:113" ht="39" customHeight="1" x14ac:dyDescent="0.25">
      <c r="A3" s="164"/>
      <c r="B3" s="164"/>
      <c r="C3" s="166"/>
      <c r="D3" s="164"/>
      <c r="E3" s="168"/>
      <c r="F3" s="181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22" t="s">
        <v>35</v>
      </c>
      <c r="AC3" s="222" t="s">
        <v>372</v>
      </c>
      <c r="AD3" s="222" t="s">
        <v>35</v>
      </c>
      <c r="AE3" s="222" t="s">
        <v>372</v>
      </c>
      <c r="AF3" s="222" t="s">
        <v>35</v>
      </c>
      <c r="AG3" s="222" t="s">
        <v>372</v>
      </c>
      <c r="AH3" s="222" t="s">
        <v>35</v>
      </c>
      <c r="AI3" s="222" t="s">
        <v>372</v>
      </c>
      <c r="AJ3" s="222" t="s">
        <v>35</v>
      </c>
      <c r="AK3" s="222" t="s">
        <v>372</v>
      </c>
      <c r="AL3" s="222" t="s">
        <v>35</v>
      </c>
      <c r="AM3" s="222" t="s">
        <v>372</v>
      </c>
      <c r="AN3" s="222" t="s">
        <v>35</v>
      </c>
      <c r="AO3" s="222" t="s">
        <v>372</v>
      </c>
      <c r="AP3" s="222" t="s">
        <v>35</v>
      </c>
      <c r="AQ3" s="222" t="s">
        <v>372</v>
      </c>
      <c r="AR3" s="222" t="s">
        <v>35</v>
      </c>
      <c r="AS3" s="222" t="s">
        <v>372</v>
      </c>
      <c r="AT3" s="222" t="s">
        <v>35</v>
      </c>
      <c r="AU3" s="222" t="s">
        <v>372</v>
      </c>
      <c r="AV3" s="222" t="s">
        <v>35</v>
      </c>
      <c r="AW3" s="222" t="s">
        <v>372</v>
      </c>
      <c r="AX3" s="227" t="s">
        <v>35</v>
      </c>
      <c r="AY3" s="227" t="s">
        <v>372</v>
      </c>
      <c r="AZ3" s="222" t="s">
        <v>35</v>
      </c>
      <c r="BA3" s="222" t="s">
        <v>372</v>
      </c>
      <c r="BB3" s="18" t="s">
        <v>18</v>
      </c>
      <c r="BC3" s="18" t="s">
        <v>19</v>
      </c>
      <c r="BD3" s="18" t="s">
        <v>20</v>
      </c>
      <c r="BE3" s="18" t="s">
        <v>21</v>
      </c>
      <c r="BF3" s="18" t="s">
        <v>22</v>
      </c>
      <c r="BG3" s="18" t="s">
        <v>23</v>
      </c>
      <c r="BH3" s="18" t="s">
        <v>24</v>
      </c>
      <c r="BI3" s="18" t="s">
        <v>38</v>
      </c>
      <c r="BJ3" s="18" t="s">
        <v>26</v>
      </c>
      <c r="BK3" s="18" t="s">
        <v>27</v>
      </c>
      <c r="BL3" s="18" t="s">
        <v>28</v>
      </c>
      <c r="BM3" s="18" t="str">
        <f>+AR3</f>
        <v>%</v>
      </c>
      <c r="BN3" s="18" t="s">
        <v>30</v>
      </c>
      <c r="BO3" s="18" t="s">
        <v>31</v>
      </c>
      <c r="BP3" s="18" t="s">
        <v>32</v>
      </c>
      <c r="BQ3" s="18" t="s">
        <v>33</v>
      </c>
      <c r="BR3" s="18" t="s">
        <v>34</v>
      </c>
      <c r="BS3" s="222" t="s">
        <v>35</v>
      </c>
      <c r="BT3" s="222" t="s">
        <v>372</v>
      </c>
      <c r="BU3" s="15" t="s">
        <v>36</v>
      </c>
      <c r="BV3" s="15" t="s">
        <v>16</v>
      </c>
      <c r="BW3" s="15" t="s">
        <v>37</v>
      </c>
      <c r="BX3" s="15" t="s">
        <v>18</v>
      </c>
      <c r="BY3" s="15" t="s">
        <v>19</v>
      </c>
      <c r="BZ3" s="15" t="s">
        <v>20</v>
      </c>
      <c r="CA3" s="15" t="s">
        <v>21</v>
      </c>
      <c r="CB3" s="15" t="s">
        <v>22</v>
      </c>
      <c r="CC3" s="15" t="s">
        <v>23</v>
      </c>
      <c r="CD3" s="15" t="s">
        <v>24</v>
      </c>
      <c r="CE3" s="15" t="s">
        <v>38</v>
      </c>
      <c r="CF3" s="15" t="s">
        <v>26</v>
      </c>
      <c r="CG3" s="15" t="s">
        <v>27</v>
      </c>
      <c r="CH3" s="15" t="s">
        <v>28</v>
      </c>
      <c r="CI3" s="15" t="str">
        <f>+BM3</f>
        <v>%</v>
      </c>
      <c r="CJ3" s="15" t="s">
        <v>30</v>
      </c>
      <c r="CK3" s="15" t="s">
        <v>31</v>
      </c>
      <c r="CL3" s="15" t="s">
        <v>32</v>
      </c>
      <c r="CM3" s="15" t="s">
        <v>33</v>
      </c>
      <c r="CN3" s="15" t="s">
        <v>34</v>
      </c>
      <c r="CO3" s="227" t="s">
        <v>35</v>
      </c>
      <c r="CP3" s="227" t="s">
        <v>372</v>
      </c>
      <c r="CQ3" s="18" t="s">
        <v>16</v>
      </c>
      <c r="CR3" s="18" t="s">
        <v>37</v>
      </c>
      <c r="CS3" s="18" t="s">
        <v>18</v>
      </c>
      <c r="CT3" s="18" t="s">
        <v>19</v>
      </c>
      <c r="CU3" s="18" t="s">
        <v>20</v>
      </c>
      <c r="CV3" s="18" t="s">
        <v>21</v>
      </c>
      <c r="CW3" s="18" t="s">
        <v>22</v>
      </c>
      <c r="CX3" s="18" t="s">
        <v>23</v>
      </c>
      <c r="CY3" s="18" t="s">
        <v>24</v>
      </c>
      <c r="CZ3" s="18" t="s">
        <v>38</v>
      </c>
      <c r="DA3" s="18" t="s">
        <v>26</v>
      </c>
      <c r="DB3" s="18" t="s">
        <v>27</v>
      </c>
      <c r="DC3" s="18" t="s">
        <v>28</v>
      </c>
      <c r="DD3" s="19" t="str">
        <f>+CI3</f>
        <v>%</v>
      </c>
      <c r="DE3" s="18" t="s">
        <v>30</v>
      </c>
      <c r="DF3" s="18" t="s">
        <v>31</v>
      </c>
      <c r="DG3" s="18" t="s">
        <v>32</v>
      </c>
      <c r="DH3" s="18" t="s">
        <v>33</v>
      </c>
      <c r="DI3" s="18" t="s">
        <v>34</v>
      </c>
    </row>
    <row r="4" spans="1:113" ht="66.75" customHeight="1" x14ac:dyDescent="0.25">
      <c r="A4" s="20" t="s">
        <v>39</v>
      </c>
      <c r="B4" s="169" t="s">
        <v>40</v>
      </c>
      <c r="C4" s="21" t="s">
        <v>41</v>
      </c>
      <c r="D4" s="22" t="s">
        <v>42</v>
      </c>
      <c r="E4" s="23">
        <v>510</v>
      </c>
      <c r="F4" s="24" t="s">
        <v>43</v>
      </c>
      <c r="G4" s="25">
        <f t="shared" ref="G4:G19" si="0">SUM(H4:Z4)</f>
        <v>25000000</v>
      </c>
      <c r="H4" s="25"/>
      <c r="I4" s="25"/>
      <c r="J4" s="25"/>
      <c r="K4" s="25">
        <v>25000000</v>
      </c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6"/>
      <c r="AB4" s="27">
        <f t="shared" ref="AB4:AB67" si="1">+AC4/G4</f>
        <v>1</v>
      </c>
      <c r="AC4" s="25">
        <f t="shared" ref="AC4:AC19" si="2">SUM(AD4:AW4)</f>
        <v>25000000</v>
      </c>
      <c r="AD4" s="28"/>
      <c r="AE4" s="29"/>
      <c r="AF4" s="29"/>
      <c r="AG4" s="29"/>
      <c r="AH4" s="25">
        <v>25000000</v>
      </c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27">
        <f t="shared" ref="AX4:AX67" si="3">1-AB4</f>
        <v>0</v>
      </c>
      <c r="AY4" s="25">
        <f t="shared" ref="AY4:AY19" si="4">SUM(AZ4:BR4)</f>
        <v>0</v>
      </c>
      <c r="AZ4" s="25">
        <f t="shared" ref="AZ4:AZ9" si="5">+H4</f>
        <v>0</v>
      </c>
      <c r="BA4" s="25">
        <f t="shared" ref="BA4:BB16" si="6">I4-AF4</f>
        <v>0</v>
      </c>
      <c r="BB4" s="25">
        <f t="shared" si="6"/>
        <v>0</v>
      </c>
      <c r="BC4" s="25">
        <f t="shared" ref="BC4:BN16" si="7">+K4-AH4</f>
        <v>0</v>
      </c>
      <c r="BD4" s="25">
        <f t="shared" si="7"/>
        <v>0</v>
      </c>
      <c r="BE4" s="25">
        <f t="shared" si="7"/>
        <v>0</v>
      </c>
      <c r="BF4" s="25">
        <f t="shared" si="7"/>
        <v>0</v>
      </c>
      <c r="BG4" s="25">
        <f t="shared" si="7"/>
        <v>0</v>
      </c>
      <c r="BH4" s="25">
        <f t="shared" si="7"/>
        <v>0</v>
      </c>
      <c r="BI4" s="25">
        <f t="shared" si="7"/>
        <v>0</v>
      </c>
      <c r="BJ4" s="25">
        <f t="shared" si="7"/>
        <v>0</v>
      </c>
      <c r="BK4" s="25">
        <f t="shared" si="7"/>
        <v>0</v>
      </c>
      <c r="BL4" s="25">
        <f t="shared" si="7"/>
        <v>0</v>
      </c>
      <c r="BM4" s="25">
        <f t="shared" si="7"/>
        <v>0</v>
      </c>
      <c r="BN4" s="25">
        <f t="shared" si="7"/>
        <v>0</v>
      </c>
      <c r="BO4" s="25"/>
      <c r="BP4" s="25">
        <f>+X4-AU4</f>
        <v>0</v>
      </c>
      <c r="BQ4" s="25">
        <f t="shared" ref="BQ4:BQ16" si="8">Y4-AV4</f>
        <v>0</v>
      </c>
      <c r="BR4" s="25">
        <f t="shared" ref="BR4:BR16" si="9">+Z4-AW4</f>
        <v>0</v>
      </c>
      <c r="BS4" s="27">
        <f t="shared" ref="BS4:BS67" si="10">+BT4/G4</f>
        <v>0.88505352000000004</v>
      </c>
      <c r="BT4" s="25">
        <f t="shared" ref="BT4:BT19" si="11">SUM(BU4:CN4)</f>
        <v>22126338</v>
      </c>
      <c r="BU4" s="25"/>
      <c r="BV4" s="25"/>
      <c r="BW4" s="25"/>
      <c r="BX4" s="25"/>
      <c r="BY4" s="25">
        <f>+'[1]AGOSTO 2016'!$H$2216</f>
        <v>22126338</v>
      </c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7">
        <f t="shared" ref="CO4:CO57" si="12">1-BS4</f>
        <v>0.11494647999999996</v>
      </c>
      <c r="CP4" s="25">
        <f t="shared" ref="CP4:CP19" si="13">SUM(CQ4:DI4)</f>
        <v>2873662</v>
      </c>
      <c r="CQ4" s="25">
        <f t="shared" ref="CQ4:CV19" si="14">H4-BV4</f>
        <v>0</v>
      </c>
      <c r="CR4" s="25">
        <f t="shared" si="14"/>
        <v>0</v>
      </c>
      <c r="CS4" s="25">
        <f t="shared" si="14"/>
        <v>0</v>
      </c>
      <c r="CT4" s="25">
        <f t="shared" si="14"/>
        <v>2873662</v>
      </c>
      <c r="CU4" s="25">
        <f t="shared" si="14"/>
        <v>0</v>
      </c>
      <c r="CV4" s="25">
        <f t="shared" si="14"/>
        <v>0</v>
      </c>
      <c r="CW4" s="25">
        <f t="shared" ref="CW4:CY16" si="15">+N4-CB4</f>
        <v>0</v>
      </c>
      <c r="CX4" s="25">
        <f t="shared" si="15"/>
        <v>0</v>
      </c>
      <c r="CY4" s="25">
        <f t="shared" si="15"/>
        <v>0</v>
      </c>
      <c r="CZ4" s="25">
        <f t="shared" ref="CZ4:DB19" si="16">Q4-CE4</f>
        <v>0</v>
      </c>
      <c r="DA4" s="25">
        <f t="shared" si="16"/>
        <v>0</v>
      </c>
      <c r="DB4" s="25">
        <f t="shared" si="16"/>
        <v>0</v>
      </c>
      <c r="DC4" s="25">
        <f t="shared" ref="DC4:DE16" si="17">+T4-CH4</f>
        <v>0</v>
      </c>
      <c r="DD4" s="25">
        <f t="shared" si="17"/>
        <v>0</v>
      </c>
      <c r="DE4" s="25">
        <f t="shared" si="17"/>
        <v>0</v>
      </c>
      <c r="DF4" s="25"/>
      <c r="DG4" s="25">
        <f t="shared" ref="DG4:DI16" si="18">+X4-CL4</f>
        <v>0</v>
      </c>
      <c r="DH4" s="25">
        <f t="shared" si="18"/>
        <v>0</v>
      </c>
      <c r="DI4" s="25">
        <f t="shared" si="18"/>
        <v>0</v>
      </c>
    </row>
    <row r="5" spans="1:113" ht="65.25" customHeight="1" x14ac:dyDescent="0.25">
      <c r="A5" s="31"/>
      <c r="B5" s="182"/>
      <c r="C5" s="21" t="s">
        <v>44</v>
      </c>
      <c r="D5" s="22" t="s">
        <v>45</v>
      </c>
      <c r="E5" s="23">
        <v>510</v>
      </c>
      <c r="F5" s="24" t="s">
        <v>46</v>
      </c>
      <c r="G5" s="25">
        <f t="shared" si="0"/>
        <v>62800000</v>
      </c>
      <c r="H5" s="25"/>
      <c r="I5" s="25">
        <f>18000000-18000000</f>
        <v>0</v>
      </c>
      <c r="J5" s="25"/>
      <c r="K5" s="25">
        <f>36000000+18000000</f>
        <v>54000000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f>5000000+1800000-1000000+3000000</f>
        <v>8800000</v>
      </c>
      <c r="AA5" s="32"/>
      <c r="AB5" s="27">
        <f t="shared" si="1"/>
        <v>0.65607587579617832</v>
      </c>
      <c r="AC5" s="25">
        <f t="shared" si="2"/>
        <v>41201565</v>
      </c>
      <c r="AD5" s="25"/>
      <c r="AE5" s="25"/>
      <c r="AF5" s="25"/>
      <c r="AG5" s="25"/>
      <c r="AH5" s="25">
        <f>+'[2]MARZO 2016 ULTIMO'!$O$867</f>
        <v>36000000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f>+'[1]AGOSTO 2016'!$AG$2237</f>
        <v>5201565</v>
      </c>
      <c r="AX5" s="27">
        <f t="shared" si="3"/>
        <v>0.34392412420382168</v>
      </c>
      <c r="AY5" s="25">
        <f t="shared" si="4"/>
        <v>21598435</v>
      </c>
      <c r="AZ5" s="25">
        <f t="shared" si="5"/>
        <v>0</v>
      </c>
      <c r="BA5" s="25">
        <f t="shared" si="6"/>
        <v>0</v>
      </c>
      <c r="BB5" s="25">
        <f t="shared" si="6"/>
        <v>0</v>
      </c>
      <c r="BC5" s="25">
        <f t="shared" si="7"/>
        <v>18000000</v>
      </c>
      <c r="BD5" s="25">
        <f t="shared" si="7"/>
        <v>0</v>
      </c>
      <c r="BE5" s="25">
        <f t="shared" si="7"/>
        <v>0</v>
      </c>
      <c r="BF5" s="25">
        <f t="shared" si="7"/>
        <v>0</v>
      </c>
      <c r="BG5" s="25">
        <f t="shared" si="7"/>
        <v>0</v>
      </c>
      <c r="BH5" s="25">
        <f t="shared" si="7"/>
        <v>0</v>
      </c>
      <c r="BI5" s="25">
        <f t="shared" si="7"/>
        <v>0</v>
      </c>
      <c r="BJ5" s="25">
        <f t="shared" si="7"/>
        <v>0</v>
      </c>
      <c r="BK5" s="25">
        <f t="shared" si="7"/>
        <v>0</v>
      </c>
      <c r="BL5" s="25">
        <f t="shared" si="7"/>
        <v>0</v>
      </c>
      <c r="BM5" s="25">
        <f t="shared" si="7"/>
        <v>0</v>
      </c>
      <c r="BN5" s="25">
        <f t="shared" si="7"/>
        <v>0</v>
      </c>
      <c r="BO5" s="25"/>
      <c r="BP5" s="25"/>
      <c r="BQ5" s="25">
        <f t="shared" si="8"/>
        <v>0</v>
      </c>
      <c r="BR5" s="25">
        <f t="shared" si="9"/>
        <v>3598435</v>
      </c>
      <c r="BS5" s="27">
        <f t="shared" si="10"/>
        <v>0.656050923566879</v>
      </c>
      <c r="BT5" s="25">
        <f t="shared" si="11"/>
        <v>41199998</v>
      </c>
      <c r="BU5" s="25"/>
      <c r="BV5" s="25"/>
      <c r="BW5" s="25"/>
      <c r="BX5" s="25"/>
      <c r="BY5" s="25">
        <f>+'[1]AGOSTO 2016'!$H$2238+'[1]AGOSTO 2016'!$H$2244</f>
        <v>35999998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f>+'[1]AGOSTO 2016'!$H$2240+'[1]AGOSTO 2016'!$H$2242+'[1]AGOSTO 2016'!$H$2246+'[1]AGOSTO 2016'!$H$2247+'[1]AGOSTO 2016'!$H$2248+'[1]AGOSTO 2016'!$H$2249+'[1]AGOSTO 2016'!$H$2250+'[1]AGOSTO 2016'!$H$2251</f>
        <v>5200000</v>
      </c>
      <c r="CO5" s="27">
        <f t="shared" si="12"/>
        <v>0.343949076433121</v>
      </c>
      <c r="CP5" s="25">
        <f t="shared" si="13"/>
        <v>21600002</v>
      </c>
      <c r="CQ5" s="25">
        <f t="shared" si="14"/>
        <v>0</v>
      </c>
      <c r="CR5" s="25">
        <f t="shared" si="14"/>
        <v>0</v>
      </c>
      <c r="CS5" s="25">
        <f t="shared" si="14"/>
        <v>0</v>
      </c>
      <c r="CT5" s="25">
        <f t="shared" si="14"/>
        <v>18000002</v>
      </c>
      <c r="CU5" s="25">
        <f t="shared" si="14"/>
        <v>0</v>
      </c>
      <c r="CV5" s="25">
        <f t="shared" si="14"/>
        <v>0</v>
      </c>
      <c r="CW5" s="25">
        <f t="shared" si="15"/>
        <v>0</v>
      </c>
      <c r="CX5" s="25">
        <f t="shared" si="15"/>
        <v>0</v>
      </c>
      <c r="CY5" s="25">
        <f t="shared" si="15"/>
        <v>0</v>
      </c>
      <c r="CZ5" s="25">
        <f t="shared" si="16"/>
        <v>0</v>
      </c>
      <c r="DA5" s="25">
        <f t="shared" si="16"/>
        <v>0</v>
      </c>
      <c r="DB5" s="25">
        <f t="shared" si="16"/>
        <v>0</v>
      </c>
      <c r="DC5" s="25">
        <f t="shared" si="17"/>
        <v>0</v>
      </c>
      <c r="DD5" s="25">
        <f t="shared" si="17"/>
        <v>0</v>
      </c>
      <c r="DE5" s="25">
        <f t="shared" si="17"/>
        <v>0</v>
      </c>
      <c r="DF5" s="25"/>
      <c r="DG5" s="25">
        <f t="shared" si="18"/>
        <v>0</v>
      </c>
      <c r="DH5" s="25">
        <f t="shared" si="18"/>
        <v>0</v>
      </c>
      <c r="DI5" s="25">
        <f t="shared" si="18"/>
        <v>3600000</v>
      </c>
    </row>
    <row r="6" spans="1:113" ht="48" customHeight="1" x14ac:dyDescent="0.25">
      <c r="A6" s="31"/>
      <c r="B6" s="170"/>
      <c r="C6" s="21" t="s">
        <v>47</v>
      </c>
      <c r="D6" s="22" t="s">
        <v>48</v>
      </c>
      <c r="E6" s="154">
        <v>510</v>
      </c>
      <c r="F6" s="24" t="s">
        <v>43</v>
      </c>
      <c r="G6" s="25">
        <f t="shared" si="0"/>
        <v>21000000</v>
      </c>
      <c r="H6" s="25"/>
      <c r="I6" s="25">
        <f>11000000-11000000</f>
        <v>0</v>
      </c>
      <c r="J6" s="25"/>
      <c r="K6" s="25">
        <f>10000000+11000000</f>
        <v>21000000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32"/>
      <c r="AB6" s="27">
        <f t="shared" si="1"/>
        <v>0.47619047619047616</v>
      </c>
      <c r="AC6" s="25">
        <f t="shared" si="2"/>
        <v>10000000</v>
      </c>
      <c r="AD6" s="25"/>
      <c r="AE6" s="25"/>
      <c r="AF6" s="25"/>
      <c r="AG6" s="25"/>
      <c r="AH6" s="25">
        <f>+'[2]MARZO 2016 ULTIMO'!$O$878</f>
        <v>10000000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7">
        <f t="shared" si="3"/>
        <v>0.52380952380952384</v>
      </c>
      <c r="AY6" s="25">
        <f t="shared" si="4"/>
        <v>11000000</v>
      </c>
      <c r="AZ6" s="25">
        <f t="shared" si="5"/>
        <v>0</v>
      </c>
      <c r="BA6" s="25">
        <f t="shared" si="6"/>
        <v>0</v>
      </c>
      <c r="BB6" s="25">
        <f t="shared" si="6"/>
        <v>0</v>
      </c>
      <c r="BC6" s="25">
        <f t="shared" si="7"/>
        <v>11000000</v>
      </c>
      <c r="BD6" s="25">
        <f t="shared" si="7"/>
        <v>0</v>
      </c>
      <c r="BE6" s="25">
        <f t="shared" si="7"/>
        <v>0</v>
      </c>
      <c r="BF6" s="25">
        <f t="shared" si="7"/>
        <v>0</v>
      </c>
      <c r="BG6" s="25">
        <f t="shared" si="7"/>
        <v>0</v>
      </c>
      <c r="BH6" s="25">
        <f t="shared" si="7"/>
        <v>0</v>
      </c>
      <c r="BI6" s="25">
        <f t="shared" si="7"/>
        <v>0</v>
      </c>
      <c r="BJ6" s="25">
        <f t="shared" si="7"/>
        <v>0</v>
      </c>
      <c r="BK6" s="25">
        <f t="shared" si="7"/>
        <v>0</v>
      </c>
      <c r="BL6" s="25">
        <f t="shared" si="7"/>
        <v>0</v>
      </c>
      <c r="BM6" s="25">
        <f t="shared" si="7"/>
        <v>0</v>
      </c>
      <c r="BN6" s="25">
        <f t="shared" si="7"/>
        <v>0</v>
      </c>
      <c r="BO6" s="25"/>
      <c r="BP6" s="25"/>
      <c r="BQ6" s="25">
        <f t="shared" si="8"/>
        <v>0</v>
      </c>
      <c r="BR6" s="25">
        <f t="shared" si="9"/>
        <v>0</v>
      </c>
      <c r="BS6" s="27">
        <f t="shared" si="10"/>
        <v>0.47619047619047616</v>
      </c>
      <c r="BT6" s="25">
        <f t="shared" si="11"/>
        <v>10000000</v>
      </c>
      <c r="BU6" s="25"/>
      <c r="BV6" s="25"/>
      <c r="BW6" s="25"/>
      <c r="BX6" s="25"/>
      <c r="BY6" s="25">
        <f>+'[3]ABRIL 2016'!$O$1124</f>
        <v>10000000</v>
      </c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7">
        <f t="shared" si="12"/>
        <v>0.52380952380952384</v>
      </c>
      <c r="CP6" s="25">
        <f t="shared" si="13"/>
        <v>11000000</v>
      </c>
      <c r="CQ6" s="25">
        <f t="shared" si="14"/>
        <v>0</v>
      </c>
      <c r="CR6" s="25">
        <f t="shared" si="14"/>
        <v>0</v>
      </c>
      <c r="CS6" s="25">
        <f t="shared" si="14"/>
        <v>0</v>
      </c>
      <c r="CT6" s="25">
        <f t="shared" si="14"/>
        <v>11000000</v>
      </c>
      <c r="CU6" s="25">
        <f t="shared" si="14"/>
        <v>0</v>
      </c>
      <c r="CV6" s="25">
        <f t="shared" si="14"/>
        <v>0</v>
      </c>
      <c r="CW6" s="25">
        <f t="shared" si="15"/>
        <v>0</v>
      </c>
      <c r="CX6" s="25">
        <f t="shared" si="15"/>
        <v>0</v>
      </c>
      <c r="CY6" s="25">
        <f t="shared" si="15"/>
        <v>0</v>
      </c>
      <c r="CZ6" s="25">
        <f t="shared" si="16"/>
        <v>0</v>
      </c>
      <c r="DA6" s="25">
        <f t="shared" si="16"/>
        <v>0</v>
      </c>
      <c r="DB6" s="25">
        <f t="shared" si="16"/>
        <v>0</v>
      </c>
      <c r="DC6" s="25">
        <f t="shared" si="17"/>
        <v>0</v>
      </c>
      <c r="DD6" s="25">
        <f t="shared" si="17"/>
        <v>0</v>
      </c>
      <c r="DE6" s="25">
        <f t="shared" si="17"/>
        <v>0</v>
      </c>
      <c r="DF6" s="25"/>
      <c r="DG6" s="25">
        <f t="shared" si="18"/>
        <v>0</v>
      </c>
      <c r="DH6" s="25">
        <f t="shared" si="18"/>
        <v>0</v>
      </c>
      <c r="DI6" s="25">
        <f t="shared" si="18"/>
        <v>0</v>
      </c>
    </row>
    <row r="7" spans="1:113" ht="52.5" customHeight="1" x14ac:dyDescent="0.25">
      <c r="A7" s="31"/>
      <c r="B7" s="34" t="s">
        <v>49</v>
      </c>
      <c r="C7" s="21" t="s">
        <v>50</v>
      </c>
      <c r="D7" s="22" t="s">
        <v>51</v>
      </c>
      <c r="E7" s="23">
        <v>510</v>
      </c>
      <c r="F7" s="24" t="s">
        <v>52</v>
      </c>
      <c r="G7" s="25">
        <f t="shared" si="0"/>
        <v>42876315</v>
      </c>
      <c r="H7" s="25"/>
      <c r="I7" s="25">
        <f>21000000-21000000</f>
        <v>0</v>
      </c>
      <c r="J7" s="25"/>
      <c r="K7" s="25">
        <f>21000000</f>
        <v>21000000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f>12576315+12300000-3000000</f>
        <v>21876315</v>
      </c>
      <c r="AB7" s="27">
        <f t="shared" si="1"/>
        <v>0.11372980630448302</v>
      </c>
      <c r="AC7" s="25">
        <f t="shared" si="2"/>
        <v>4876315</v>
      </c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>
        <f>+'[1]AGOSTO 2016'!$AG$2263</f>
        <v>4876315</v>
      </c>
      <c r="AX7" s="27">
        <f t="shared" si="3"/>
        <v>0.88627019369551696</v>
      </c>
      <c r="AY7" s="25">
        <f t="shared" si="4"/>
        <v>38000000</v>
      </c>
      <c r="AZ7" s="25">
        <f t="shared" si="5"/>
        <v>0</v>
      </c>
      <c r="BA7" s="25">
        <f t="shared" si="6"/>
        <v>0</v>
      </c>
      <c r="BB7" s="25">
        <f t="shared" si="6"/>
        <v>0</v>
      </c>
      <c r="BC7" s="25">
        <f t="shared" si="7"/>
        <v>21000000</v>
      </c>
      <c r="BD7" s="25">
        <f t="shared" si="7"/>
        <v>0</v>
      </c>
      <c r="BE7" s="25">
        <f t="shared" si="7"/>
        <v>0</v>
      </c>
      <c r="BF7" s="25">
        <f t="shared" si="7"/>
        <v>0</v>
      </c>
      <c r="BG7" s="25">
        <f t="shared" si="7"/>
        <v>0</v>
      </c>
      <c r="BH7" s="25">
        <f t="shared" si="7"/>
        <v>0</v>
      </c>
      <c r="BI7" s="25">
        <f t="shared" si="7"/>
        <v>0</v>
      </c>
      <c r="BJ7" s="25">
        <f t="shared" si="7"/>
        <v>0</v>
      </c>
      <c r="BK7" s="25">
        <f t="shared" si="7"/>
        <v>0</v>
      </c>
      <c r="BL7" s="25">
        <f t="shared" si="7"/>
        <v>0</v>
      </c>
      <c r="BM7" s="25">
        <f t="shared" si="7"/>
        <v>0</v>
      </c>
      <c r="BN7" s="25">
        <f t="shared" si="7"/>
        <v>0</v>
      </c>
      <c r="BO7" s="25"/>
      <c r="BP7" s="25"/>
      <c r="BQ7" s="25">
        <f t="shared" si="8"/>
        <v>0</v>
      </c>
      <c r="BR7" s="25">
        <f t="shared" si="9"/>
        <v>17000000</v>
      </c>
      <c r="BS7" s="27">
        <f t="shared" si="10"/>
        <v>8.8369721138581991E-2</v>
      </c>
      <c r="BT7" s="25">
        <f t="shared" si="11"/>
        <v>3788968</v>
      </c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>
        <f>+'[1]AGOSTO 2016'!$H$2261</f>
        <v>3788968</v>
      </c>
      <c r="CO7" s="27">
        <f t="shared" si="12"/>
        <v>0.91163027886141801</v>
      </c>
      <c r="CP7" s="25">
        <f t="shared" si="13"/>
        <v>39087347</v>
      </c>
      <c r="CQ7" s="25">
        <f t="shared" si="14"/>
        <v>0</v>
      </c>
      <c r="CR7" s="25">
        <f t="shared" si="14"/>
        <v>0</v>
      </c>
      <c r="CS7" s="25">
        <f t="shared" si="14"/>
        <v>0</v>
      </c>
      <c r="CT7" s="25">
        <f t="shared" si="14"/>
        <v>21000000</v>
      </c>
      <c r="CU7" s="25">
        <f t="shared" si="14"/>
        <v>0</v>
      </c>
      <c r="CV7" s="25">
        <f t="shared" si="14"/>
        <v>0</v>
      </c>
      <c r="CW7" s="25">
        <f t="shared" si="15"/>
        <v>0</v>
      </c>
      <c r="CX7" s="25">
        <f t="shared" si="15"/>
        <v>0</v>
      </c>
      <c r="CY7" s="25">
        <f t="shared" si="15"/>
        <v>0</v>
      </c>
      <c r="CZ7" s="25">
        <f t="shared" si="16"/>
        <v>0</v>
      </c>
      <c r="DA7" s="25">
        <f t="shared" si="16"/>
        <v>0</v>
      </c>
      <c r="DB7" s="25">
        <f t="shared" si="16"/>
        <v>0</v>
      </c>
      <c r="DC7" s="25">
        <f t="shared" si="17"/>
        <v>0</v>
      </c>
      <c r="DD7" s="25">
        <f t="shared" si="17"/>
        <v>0</v>
      </c>
      <c r="DE7" s="25">
        <f t="shared" si="17"/>
        <v>0</v>
      </c>
      <c r="DF7" s="25"/>
      <c r="DG7" s="25">
        <f t="shared" si="18"/>
        <v>0</v>
      </c>
      <c r="DH7" s="25">
        <f t="shared" si="18"/>
        <v>0</v>
      </c>
      <c r="DI7" s="25">
        <f t="shared" si="18"/>
        <v>18087347</v>
      </c>
    </row>
    <row r="8" spans="1:113" ht="61.5" customHeight="1" x14ac:dyDescent="0.25">
      <c r="A8" s="31"/>
      <c r="B8" s="169" t="s">
        <v>53</v>
      </c>
      <c r="C8" s="21" t="s">
        <v>54</v>
      </c>
      <c r="D8" s="22" t="s">
        <v>55</v>
      </c>
      <c r="E8" s="23">
        <v>310</v>
      </c>
      <c r="F8" s="24" t="s">
        <v>43</v>
      </c>
      <c r="G8" s="25">
        <f t="shared" si="0"/>
        <v>200000000</v>
      </c>
      <c r="H8" s="25"/>
      <c r="I8" s="25">
        <f>200000000-193378600</f>
        <v>6621400</v>
      </c>
      <c r="J8" s="25"/>
      <c r="K8" s="25">
        <f>193378600</f>
        <v>193378600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B8" s="27">
        <f t="shared" si="1"/>
        <v>0.99987499999999996</v>
      </c>
      <c r="AC8" s="25">
        <f t="shared" si="2"/>
        <v>199975000</v>
      </c>
      <c r="AD8" s="25"/>
      <c r="AE8" s="25"/>
      <c r="AF8" s="25">
        <f>+'[4]ENERO 2016'!$M$109</f>
        <v>6621400</v>
      </c>
      <c r="AG8" s="25"/>
      <c r="AH8" s="25">
        <f>+'[5]FEBRERO 2016'!$O$125</f>
        <v>193353600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7">
        <f t="shared" si="3"/>
        <v>1.2500000000004174E-4</v>
      </c>
      <c r="AY8" s="25">
        <f t="shared" si="4"/>
        <v>25000</v>
      </c>
      <c r="AZ8" s="25">
        <f t="shared" si="5"/>
        <v>0</v>
      </c>
      <c r="BA8" s="25">
        <f t="shared" si="6"/>
        <v>0</v>
      </c>
      <c r="BB8" s="25">
        <f t="shared" si="6"/>
        <v>0</v>
      </c>
      <c r="BC8" s="25">
        <f t="shared" si="7"/>
        <v>25000</v>
      </c>
      <c r="BD8" s="25">
        <f t="shared" si="7"/>
        <v>0</v>
      </c>
      <c r="BE8" s="25">
        <f t="shared" si="7"/>
        <v>0</v>
      </c>
      <c r="BF8" s="25">
        <f t="shared" si="7"/>
        <v>0</v>
      </c>
      <c r="BG8" s="25">
        <f t="shared" si="7"/>
        <v>0</v>
      </c>
      <c r="BH8" s="25">
        <f t="shared" si="7"/>
        <v>0</v>
      </c>
      <c r="BI8" s="25">
        <f t="shared" si="7"/>
        <v>0</v>
      </c>
      <c r="BJ8" s="25">
        <f t="shared" si="7"/>
        <v>0</v>
      </c>
      <c r="BK8" s="25">
        <f t="shared" si="7"/>
        <v>0</v>
      </c>
      <c r="BL8" s="25">
        <f t="shared" si="7"/>
        <v>0</v>
      </c>
      <c r="BM8" s="25">
        <f t="shared" si="7"/>
        <v>0</v>
      </c>
      <c r="BN8" s="25">
        <f t="shared" si="7"/>
        <v>0</v>
      </c>
      <c r="BO8" s="25"/>
      <c r="BP8" s="25"/>
      <c r="BQ8" s="25">
        <f t="shared" si="8"/>
        <v>0</v>
      </c>
      <c r="BR8" s="25">
        <f t="shared" si="9"/>
        <v>0</v>
      </c>
      <c r="BS8" s="27">
        <f t="shared" si="10"/>
        <v>0.57338447000000003</v>
      </c>
      <c r="BT8" s="25">
        <f t="shared" si="11"/>
        <v>114676894</v>
      </c>
      <c r="BU8" s="25"/>
      <c r="BV8" s="25"/>
      <c r="BW8" s="25">
        <f>+'[4]ENERO 2016'!$H$107</f>
        <v>6621400</v>
      </c>
      <c r="BX8" s="25"/>
      <c r="BY8" s="25">
        <f>+'[6]JULIO 2016'!$H$271-BW8</f>
        <v>108055494</v>
      </c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7">
        <f t="shared" si="12"/>
        <v>0.42661552999999997</v>
      </c>
      <c r="CP8" s="25">
        <f t="shared" si="13"/>
        <v>85323106</v>
      </c>
      <c r="CQ8" s="25">
        <f t="shared" si="14"/>
        <v>0</v>
      </c>
      <c r="CR8" s="25">
        <f t="shared" si="14"/>
        <v>0</v>
      </c>
      <c r="CS8" s="25">
        <f t="shared" si="14"/>
        <v>0</v>
      </c>
      <c r="CT8" s="25">
        <f t="shared" si="14"/>
        <v>85323106</v>
      </c>
      <c r="CU8" s="25">
        <f t="shared" si="14"/>
        <v>0</v>
      </c>
      <c r="CV8" s="25">
        <f t="shared" si="14"/>
        <v>0</v>
      </c>
      <c r="CW8" s="25">
        <f t="shared" si="15"/>
        <v>0</v>
      </c>
      <c r="CX8" s="25">
        <f t="shared" si="15"/>
        <v>0</v>
      </c>
      <c r="CY8" s="25">
        <f t="shared" si="15"/>
        <v>0</v>
      </c>
      <c r="CZ8" s="25">
        <f t="shared" si="16"/>
        <v>0</v>
      </c>
      <c r="DA8" s="25">
        <f t="shared" si="16"/>
        <v>0</v>
      </c>
      <c r="DB8" s="25">
        <f t="shared" si="16"/>
        <v>0</v>
      </c>
      <c r="DC8" s="25">
        <f t="shared" si="17"/>
        <v>0</v>
      </c>
      <c r="DD8" s="25">
        <f t="shared" si="17"/>
        <v>0</v>
      </c>
      <c r="DE8" s="25">
        <f t="shared" si="17"/>
        <v>0</v>
      </c>
      <c r="DF8" s="25"/>
      <c r="DG8" s="25">
        <f t="shared" si="18"/>
        <v>0</v>
      </c>
      <c r="DH8" s="25">
        <f t="shared" si="18"/>
        <v>0</v>
      </c>
      <c r="DI8" s="25">
        <f t="shared" si="18"/>
        <v>0</v>
      </c>
    </row>
    <row r="9" spans="1:113" ht="69" customHeight="1" x14ac:dyDescent="0.25">
      <c r="A9" s="31"/>
      <c r="B9" s="182"/>
      <c r="C9" s="21" t="s">
        <v>56</v>
      </c>
      <c r="D9" s="22" t="s">
        <v>57</v>
      </c>
      <c r="E9" s="23">
        <v>310</v>
      </c>
      <c r="F9" s="24" t="s">
        <v>58</v>
      </c>
      <c r="G9" s="25">
        <f t="shared" si="0"/>
        <v>539200000</v>
      </c>
      <c r="H9" s="25"/>
      <c r="I9" s="25">
        <f>150000000+21000000+193378600+29000000</f>
        <v>393378600</v>
      </c>
      <c r="J9" s="25"/>
      <c r="K9" s="25">
        <f>370000000-21000000-193378600-30800000-29000000</f>
        <v>95821400</v>
      </c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f>30000000+12000000+1000000+7000000</f>
        <v>50000000</v>
      </c>
      <c r="AA9" s="35"/>
      <c r="AB9" s="27">
        <f t="shared" si="1"/>
        <v>0.34143333642433232</v>
      </c>
      <c r="AC9" s="25">
        <f t="shared" si="2"/>
        <v>184100855</v>
      </c>
      <c r="AD9" s="25"/>
      <c r="AE9" s="25"/>
      <c r="AF9" s="25">
        <f>+'[1]AGOSTO 2016'!$M$339</f>
        <v>68550197</v>
      </c>
      <c r="AG9" s="25"/>
      <c r="AH9" s="25">
        <f>+'[1]AGOSTO 2016'!$O$339</f>
        <v>95047311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>
        <f>+'[1]AGOSTO 2016'!$AG$339</f>
        <v>20503347</v>
      </c>
      <c r="AX9" s="27">
        <f t="shared" si="3"/>
        <v>0.65856666357566773</v>
      </c>
      <c r="AY9" s="25">
        <f t="shared" si="4"/>
        <v>355099145</v>
      </c>
      <c r="AZ9" s="25">
        <f t="shared" si="5"/>
        <v>0</v>
      </c>
      <c r="BA9" s="25">
        <f t="shared" si="6"/>
        <v>324828403</v>
      </c>
      <c r="BB9" s="25">
        <f t="shared" si="6"/>
        <v>0</v>
      </c>
      <c r="BC9" s="25">
        <f t="shared" si="7"/>
        <v>774089</v>
      </c>
      <c r="BD9" s="25">
        <f t="shared" si="7"/>
        <v>0</v>
      </c>
      <c r="BE9" s="25">
        <f t="shared" si="7"/>
        <v>0</v>
      </c>
      <c r="BF9" s="25">
        <f t="shared" si="7"/>
        <v>0</v>
      </c>
      <c r="BG9" s="25">
        <f t="shared" si="7"/>
        <v>0</v>
      </c>
      <c r="BH9" s="25">
        <f t="shared" si="7"/>
        <v>0</v>
      </c>
      <c r="BI9" s="25">
        <f t="shared" si="7"/>
        <v>0</v>
      </c>
      <c r="BJ9" s="25">
        <f t="shared" si="7"/>
        <v>0</v>
      </c>
      <c r="BK9" s="25">
        <f t="shared" si="7"/>
        <v>0</v>
      </c>
      <c r="BL9" s="25">
        <f t="shared" si="7"/>
        <v>0</v>
      </c>
      <c r="BM9" s="25">
        <f t="shared" si="7"/>
        <v>0</v>
      </c>
      <c r="BN9" s="25">
        <f t="shared" si="7"/>
        <v>0</v>
      </c>
      <c r="BO9" s="25"/>
      <c r="BP9" s="25"/>
      <c r="BQ9" s="25">
        <f t="shared" si="8"/>
        <v>0</v>
      </c>
      <c r="BR9" s="25">
        <f t="shared" si="9"/>
        <v>29496653</v>
      </c>
      <c r="BS9" s="27">
        <f t="shared" si="10"/>
        <v>0.34051871476261125</v>
      </c>
      <c r="BT9" s="25">
        <f t="shared" si="11"/>
        <v>183607691</v>
      </c>
      <c r="BU9" s="25"/>
      <c r="BV9" s="25"/>
      <c r="BW9" s="25">
        <f>8604159+24792921+33653117</f>
        <v>67050197</v>
      </c>
      <c r="BX9" s="25"/>
      <c r="BY9" s="25">
        <f>+'[1]AGOSTO 2016'!$H$337-BW9-CN9</f>
        <v>96547311</v>
      </c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>
        <f>+'[1]AGOSTO 2016'!$H$408+'[1]AGOSTO 2016'!$H$434+'[1]AGOSTO 2016'!$H$438+'[1]AGOSTO 2016'!$H$441+'[1]AGOSTO 2016'!$H$449+'[1]AGOSTO 2016'!$H$457+'[1]AGOSTO 2016'!$H$459+'[1]AGOSTO 2016'!$H$466+'[1]AGOSTO 2016'!$H$467+'[1]AGOSTO 2016'!$H$472+'[1]AGOSTO 2016'!$H$490+'[1]AGOSTO 2016'!$H$492+'[1]AGOSTO 2016'!$H$493+'[1]AGOSTO 2016'!$H$506+'[1]AGOSTO 2016'!$H$521</f>
        <v>20010183</v>
      </c>
      <c r="CO9" s="27">
        <f t="shared" si="12"/>
        <v>0.6594812852373888</v>
      </c>
      <c r="CP9" s="25">
        <f t="shared" si="13"/>
        <v>355592309</v>
      </c>
      <c r="CQ9" s="25">
        <f t="shared" si="14"/>
        <v>0</v>
      </c>
      <c r="CR9" s="25">
        <f t="shared" si="14"/>
        <v>326328403</v>
      </c>
      <c r="CS9" s="25">
        <f t="shared" si="14"/>
        <v>0</v>
      </c>
      <c r="CT9" s="25">
        <f t="shared" si="14"/>
        <v>-725911</v>
      </c>
      <c r="CU9" s="25">
        <f t="shared" si="14"/>
        <v>0</v>
      </c>
      <c r="CV9" s="25">
        <f t="shared" si="14"/>
        <v>0</v>
      </c>
      <c r="CW9" s="25">
        <f t="shared" si="15"/>
        <v>0</v>
      </c>
      <c r="CX9" s="25">
        <f t="shared" si="15"/>
        <v>0</v>
      </c>
      <c r="CY9" s="25">
        <f t="shared" si="15"/>
        <v>0</v>
      </c>
      <c r="CZ9" s="25">
        <f t="shared" si="16"/>
        <v>0</v>
      </c>
      <c r="DA9" s="25">
        <f t="shared" si="16"/>
        <v>0</v>
      </c>
      <c r="DB9" s="25">
        <f t="shared" si="16"/>
        <v>0</v>
      </c>
      <c r="DC9" s="25">
        <f t="shared" si="17"/>
        <v>0</v>
      </c>
      <c r="DD9" s="25">
        <f t="shared" si="17"/>
        <v>0</v>
      </c>
      <c r="DE9" s="25">
        <f t="shared" si="17"/>
        <v>0</v>
      </c>
      <c r="DF9" s="25"/>
      <c r="DG9" s="25">
        <f t="shared" si="18"/>
        <v>0</v>
      </c>
      <c r="DH9" s="25">
        <f t="shared" si="18"/>
        <v>0</v>
      </c>
      <c r="DI9" s="25">
        <f t="shared" si="18"/>
        <v>29989817</v>
      </c>
    </row>
    <row r="10" spans="1:113" ht="19.5" customHeight="1" x14ac:dyDescent="0.25">
      <c r="A10" s="31"/>
      <c r="B10" s="182"/>
      <c r="C10" s="21" t="s">
        <v>59</v>
      </c>
      <c r="D10" s="22" t="s">
        <v>60</v>
      </c>
      <c r="E10" s="23">
        <v>310</v>
      </c>
      <c r="F10" s="24" t="s">
        <v>43</v>
      </c>
      <c r="G10" s="25">
        <f t="shared" si="0"/>
        <v>15000000</v>
      </c>
      <c r="H10" s="25"/>
      <c r="I10" s="25"/>
      <c r="J10" s="25"/>
      <c r="K10" s="25">
        <v>15000000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35"/>
      <c r="AB10" s="27">
        <f t="shared" si="1"/>
        <v>1</v>
      </c>
      <c r="AC10" s="25">
        <f t="shared" si="2"/>
        <v>15000000</v>
      </c>
      <c r="AD10" s="25"/>
      <c r="AE10" s="25"/>
      <c r="AF10" s="25"/>
      <c r="AG10" s="25"/>
      <c r="AH10" s="25">
        <f>+'[6]JULIO 2016'!$G$449</f>
        <v>15000000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7">
        <f t="shared" si="3"/>
        <v>0</v>
      </c>
      <c r="AY10" s="25">
        <f t="shared" si="4"/>
        <v>0</v>
      </c>
      <c r="AZ10" s="25">
        <f t="shared" ref="AZ10:AZ16" si="19">H10-AE10</f>
        <v>0</v>
      </c>
      <c r="BA10" s="25">
        <f t="shared" si="6"/>
        <v>0</v>
      </c>
      <c r="BB10" s="25">
        <f t="shared" si="6"/>
        <v>0</v>
      </c>
      <c r="BC10" s="25">
        <f t="shared" si="7"/>
        <v>0</v>
      </c>
      <c r="BD10" s="25">
        <f t="shared" si="7"/>
        <v>0</v>
      </c>
      <c r="BE10" s="25">
        <f t="shared" si="7"/>
        <v>0</v>
      </c>
      <c r="BF10" s="25">
        <f t="shared" si="7"/>
        <v>0</v>
      </c>
      <c r="BG10" s="25">
        <f t="shared" si="7"/>
        <v>0</v>
      </c>
      <c r="BH10" s="25">
        <f t="shared" si="7"/>
        <v>0</v>
      </c>
      <c r="BI10" s="25">
        <f t="shared" si="7"/>
        <v>0</v>
      </c>
      <c r="BJ10" s="25">
        <f t="shared" si="7"/>
        <v>0</v>
      </c>
      <c r="BK10" s="25">
        <f t="shared" si="7"/>
        <v>0</v>
      </c>
      <c r="BL10" s="25">
        <f t="shared" si="7"/>
        <v>0</v>
      </c>
      <c r="BM10" s="25">
        <f t="shared" si="7"/>
        <v>0</v>
      </c>
      <c r="BN10" s="25">
        <f t="shared" si="7"/>
        <v>0</v>
      </c>
      <c r="BO10" s="25"/>
      <c r="BP10" s="25"/>
      <c r="BQ10" s="25">
        <f t="shared" si="8"/>
        <v>0</v>
      </c>
      <c r="BR10" s="25">
        <f t="shared" si="9"/>
        <v>0</v>
      </c>
      <c r="BS10" s="27">
        <f t="shared" si="10"/>
        <v>0.85284666666666664</v>
      </c>
      <c r="BT10" s="25">
        <f t="shared" si="11"/>
        <v>12792700</v>
      </c>
      <c r="BU10" s="25"/>
      <c r="BV10" s="25"/>
      <c r="BW10" s="25"/>
      <c r="BX10" s="25"/>
      <c r="BY10" s="25">
        <f>+'[1]AGOSTO 2016'!$H$531</f>
        <v>12792700</v>
      </c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7">
        <f t="shared" si="12"/>
        <v>0.14715333333333336</v>
      </c>
      <c r="CP10" s="25">
        <f t="shared" si="13"/>
        <v>2207300</v>
      </c>
      <c r="CQ10" s="25">
        <f t="shared" si="14"/>
        <v>0</v>
      </c>
      <c r="CR10" s="25">
        <f t="shared" si="14"/>
        <v>0</v>
      </c>
      <c r="CS10" s="25">
        <f t="shared" si="14"/>
        <v>0</v>
      </c>
      <c r="CT10" s="25">
        <f t="shared" si="14"/>
        <v>2207300</v>
      </c>
      <c r="CU10" s="25">
        <f t="shared" si="14"/>
        <v>0</v>
      </c>
      <c r="CV10" s="25">
        <f t="shared" si="14"/>
        <v>0</v>
      </c>
      <c r="CW10" s="25">
        <f t="shared" si="15"/>
        <v>0</v>
      </c>
      <c r="CX10" s="25">
        <f t="shared" si="15"/>
        <v>0</v>
      </c>
      <c r="CY10" s="25">
        <f t="shared" si="15"/>
        <v>0</v>
      </c>
      <c r="CZ10" s="25">
        <f t="shared" si="16"/>
        <v>0</v>
      </c>
      <c r="DA10" s="25">
        <f t="shared" si="16"/>
        <v>0</v>
      </c>
      <c r="DB10" s="25">
        <f t="shared" si="16"/>
        <v>0</v>
      </c>
      <c r="DC10" s="25">
        <f t="shared" si="17"/>
        <v>0</v>
      </c>
      <c r="DD10" s="25">
        <f t="shared" si="17"/>
        <v>0</v>
      </c>
      <c r="DE10" s="25">
        <f t="shared" si="17"/>
        <v>0</v>
      </c>
      <c r="DF10" s="25"/>
      <c r="DG10" s="25">
        <f t="shared" si="18"/>
        <v>0</v>
      </c>
      <c r="DH10" s="25">
        <f t="shared" si="18"/>
        <v>0</v>
      </c>
      <c r="DI10" s="25">
        <f t="shared" si="18"/>
        <v>0</v>
      </c>
    </row>
    <row r="11" spans="1:113" ht="34.5" customHeight="1" x14ac:dyDescent="0.25">
      <c r="A11" s="31"/>
      <c r="B11" s="182"/>
      <c r="C11" s="21" t="s">
        <v>61</v>
      </c>
      <c r="D11" s="22" t="s">
        <v>62</v>
      </c>
      <c r="E11" s="23">
        <v>310</v>
      </c>
      <c r="F11" s="24" t="s">
        <v>43</v>
      </c>
      <c r="G11" s="25">
        <f t="shared" si="0"/>
        <v>50000000</v>
      </c>
      <c r="H11" s="36"/>
      <c r="I11" s="25">
        <v>50000000</v>
      </c>
      <c r="J11" s="36"/>
      <c r="K11" s="36"/>
      <c r="L11" s="25"/>
      <c r="M11" s="36"/>
      <c r="N11" s="30"/>
      <c r="O11" s="30"/>
      <c r="P11" s="30"/>
      <c r="Q11" s="30"/>
      <c r="R11" s="30"/>
      <c r="S11" s="30"/>
      <c r="T11" s="25"/>
      <c r="U11" s="30"/>
      <c r="V11" s="30"/>
      <c r="W11" s="30"/>
      <c r="X11" s="30"/>
      <c r="Y11" s="30"/>
      <c r="Z11" s="36"/>
      <c r="AA11" s="35"/>
      <c r="AB11" s="27">
        <f t="shared" si="1"/>
        <v>0.06</v>
      </c>
      <c r="AC11" s="25">
        <f t="shared" si="2"/>
        <v>3000000</v>
      </c>
      <c r="AD11" s="25"/>
      <c r="AE11" s="25"/>
      <c r="AF11" s="25"/>
      <c r="AG11" s="25"/>
      <c r="AH11" s="25">
        <f>+'[1]AGOSTO 2016'!$M$542</f>
        <v>3000000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7">
        <f t="shared" si="3"/>
        <v>0.94</v>
      </c>
      <c r="AY11" s="25">
        <f t="shared" si="4"/>
        <v>47000000</v>
      </c>
      <c r="AZ11" s="25">
        <f t="shared" si="19"/>
        <v>0</v>
      </c>
      <c r="BA11" s="25">
        <f t="shared" si="6"/>
        <v>50000000</v>
      </c>
      <c r="BB11" s="25">
        <f t="shared" si="6"/>
        <v>0</v>
      </c>
      <c r="BC11" s="25">
        <f t="shared" si="7"/>
        <v>-3000000</v>
      </c>
      <c r="BD11" s="25">
        <f t="shared" si="7"/>
        <v>0</v>
      </c>
      <c r="BE11" s="25">
        <f t="shared" si="7"/>
        <v>0</v>
      </c>
      <c r="BF11" s="25">
        <f t="shared" si="7"/>
        <v>0</v>
      </c>
      <c r="BG11" s="25">
        <f t="shared" si="7"/>
        <v>0</v>
      </c>
      <c r="BH11" s="25">
        <f t="shared" si="7"/>
        <v>0</v>
      </c>
      <c r="BI11" s="25">
        <f t="shared" si="7"/>
        <v>0</v>
      </c>
      <c r="BJ11" s="25">
        <f t="shared" si="7"/>
        <v>0</v>
      </c>
      <c r="BK11" s="25">
        <f t="shared" si="7"/>
        <v>0</v>
      </c>
      <c r="BL11" s="25">
        <f t="shared" si="7"/>
        <v>0</v>
      </c>
      <c r="BM11" s="25">
        <f t="shared" si="7"/>
        <v>0</v>
      </c>
      <c r="BN11" s="25">
        <f t="shared" si="7"/>
        <v>0</v>
      </c>
      <c r="BO11" s="25"/>
      <c r="BP11" s="25"/>
      <c r="BQ11" s="25">
        <f t="shared" si="8"/>
        <v>0</v>
      </c>
      <c r="BR11" s="25">
        <f t="shared" si="9"/>
        <v>0</v>
      </c>
      <c r="BS11" s="27">
        <f t="shared" si="10"/>
        <v>0.02</v>
      </c>
      <c r="BT11" s="25">
        <f t="shared" si="11"/>
        <v>1000000</v>
      </c>
      <c r="BU11" s="25"/>
      <c r="BV11" s="25"/>
      <c r="BW11" s="25">
        <f>+'[6]JULIO 2016'!$H$461</f>
        <v>1000000</v>
      </c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7">
        <f t="shared" si="12"/>
        <v>0.98</v>
      </c>
      <c r="CP11" s="25">
        <f t="shared" si="13"/>
        <v>49000000</v>
      </c>
      <c r="CQ11" s="25">
        <f t="shared" si="14"/>
        <v>0</v>
      </c>
      <c r="CR11" s="25">
        <f t="shared" si="14"/>
        <v>49000000</v>
      </c>
      <c r="CS11" s="25">
        <f t="shared" si="14"/>
        <v>0</v>
      </c>
      <c r="CT11" s="25">
        <f t="shared" si="14"/>
        <v>0</v>
      </c>
      <c r="CU11" s="25">
        <f t="shared" si="14"/>
        <v>0</v>
      </c>
      <c r="CV11" s="25">
        <f t="shared" si="14"/>
        <v>0</v>
      </c>
      <c r="CW11" s="25">
        <f t="shared" si="15"/>
        <v>0</v>
      </c>
      <c r="CX11" s="25">
        <f t="shared" si="15"/>
        <v>0</v>
      </c>
      <c r="CY11" s="25">
        <f t="shared" si="15"/>
        <v>0</v>
      </c>
      <c r="CZ11" s="25">
        <f t="shared" si="16"/>
        <v>0</v>
      </c>
      <c r="DA11" s="25">
        <f t="shared" si="16"/>
        <v>0</v>
      </c>
      <c r="DB11" s="25">
        <f t="shared" si="16"/>
        <v>0</v>
      </c>
      <c r="DC11" s="25">
        <f t="shared" si="17"/>
        <v>0</v>
      </c>
      <c r="DD11" s="25">
        <f t="shared" si="17"/>
        <v>0</v>
      </c>
      <c r="DE11" s="25">
        <f t="shared" si="17"/>
        <v>0</v>
      </c>
      <c r="DF11" s="25"/>
      <c r="DG11" s="25">
        <f t="shared" si="18"/>
        <v>0</v>
      </c>
      <c r="DH11" s="25">
        <f t="shared" si="18"/>
        <v>0</v>
      </c>
      <c r="DI11" s="25">
        <f t="shared" si="18"/>
        <v>0</v>
      </c>
    </row>
    <row r="12" spans="1:113" ht="21.75" customHeight="1" x14ac:dyDescent="0.25">
      <c r="A12" s="31"/>
      <c r="B12" s="170"/>
      <c r="C12" s="21" t="s">
        <v>63</v>
      </c>
      <c r="D12" s="22" t="s">
        <v>64</v>
      </c>
      <c r="E12" s="23">
        <v>310</v>
      </c>
      <c r="F12" s="24" t="s">
        <v>43</v>
      </c>
      <c r="G12" s="25">
        <f t="shared" si="0"/>
        <v>10000000</v>
      </c>
      <c r="H12" s="36"/>
      <c r="I12" s="25"/>
      <c r="J12" s="36"/>
      <c r="K12" s="25">
        <v>10000000</v>
      </c>
      <c r="L12" s="25"/>
      <c r="M12" s="36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6"/>
      <c r="AA12" s="35"/>
      <c r="AB12" s="27">
        <f t="shared" si="1"/>
        <v>1</v>
      </c>
      <c r="AC12" s="25">
        <f t="shared" si="2"/>
        <v>10000000</v>
      </c>
      <c r="AD12" s="25"/>
      <c r="AE12" s="25"/>
      <c r="AF12" s="25"/>
      <c r="AG12" s="25"/>
      <c r="AH12" s="25">
        <f>+'[7]JUNIO 2016'!$O$399</f>
        <v>10000000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7">
        <f t="shared" si="3"/>
        <v>0</v>
      </c>
      <c r="AY12" s="25">
        <f t="shared" si="4"/>
        <v>0</v>
      </c>
      <c r="AZ12" s="25">
        <f t="shared" si="19"/>
        <v>0</v>
      </c>
      <c r="BA12" s="25">
        <f t="shared" si="6"/>
        <v>0</v>
      </c>
      <c r="BB12" s="25">
        <f t="shared" si="6"/>
        <v>0</v>
      </c>
      <c r="BC12" s="25">
        <f t="shared" si="7"/>
        <v>0</v>
      </c>
      <c r="BD12" s="25">
        <f t="shared" si="7"/>
        <v>0</v>
      </c>
      <c r="BE12" s="25">
        <f t="shared" si="7"/>
        <v>0</v>
      </c>
      <c r="BF12" s="25">
        <f t="shared" si="7"/>
        <v>0</v>
      </c>
      <c r="BG12" s="25">
        <f t="shared" si="7"/>
        <v>0</v>
      </c>
      <c r="BH12" s="25">
        <f t="shared" si="7"/>
        <v>0</v>
      </c>
      <c r="BI12" s="25">
        <f t="shared" si="7"/>
        <v>0</v>
      </c>
      <c r="BJ12" s="25">
        <f t="shared" si="7"/>
        <v>0</v>
      </c>
      <c r="BK12" s="25">
        <f t="shared" si="7"/>
        <v>0</v>
      </c>
      <c r="BL12" s="25">
        <f t="shared" si="7"/>
        <v>0</v>
      </c>
      <c r="BM12" s="25">
        <f t="shared" si="7"/>
        <v>0</v>
      </c>
      <c r="BN12" s="25">
        <f t="shared" si="7"/>
        <v>0</v>
      </c>
      <c r="BO12" s="25"/>
      <c r="BP12" s="25"/>
      <c r="BQ12" s="25">
        <f t="shared" si="8"/>
        <v>0</v>
      </c>
      <c r="BR12" s="25">
        <f t="shared" si="9"/>
        <v>0</v>
      </c>
      <c r="BS12" s="27">
        <f t="shared" si="10"/>
        <v>0.78</v>
      </c>
      <c r="BT12" s="25">
        <f t="shared" si="11"/>
        <v>7800000</v>
      </c>
      <c r="BU12" s="25"/>
      <c r="BV12" s="25"/>
      <c r="BW12" s="25"/>
      <c r="BX12" s="25"/>
      <c r="BY12" s="25">
        <f>+'[1]AGOSTO 2016'!$H$546</f>
        <v>7800000</v>
      </c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7">
        <f t="shared" si="12"/>
        <v>0.21999999999999997</v>
      </c>
      <c r="CP12" s="25">
        <f t="shared" si="13"/>
        <v>2200000</v>
      </c>
      <c r="CQ12" s="25">
        <f t="shared" si="14"/>
        <v>0</v>
      </c>
      <c r="CR12" s="25">
        <f t="shared" si="14"/>
        <v>0</v>
      </c>
      <c r="CS12" s="25">
        <f t="shared" si="14"/>
        <v>0</v>
      </c>
      <c r="CT12" s="25">
        <f t="shared" si="14"/>
        <v>2200000</v>
      </c>
      <c r="CU12" s="25">
        <f t="shared" si="14"/>
        <v>0</v>
      </c>
      <c r="CV12" s="25">
        <f t="shared" si="14"/>
        <v>0</v>
      </c>
      <c r="CW12" s="25">
        <f t="shared" si="15"/>
        <v>0</v>
      </c>
      <c r="CX12" s="25">
        <f t="shared" si="15"/>
        <v>0</v>
      </c>
      <c r="CY12" s="25">
        <f t="shared" si="15"/>
        <v>0</v>
      </c>
      <c r="CZ12" s="25">
        <f t="shared" si="16"/>
        <v>0</v>
      </c>
      <c r="DA12" s="25">
        <f t="shared" si="16"/>
        <v>0</v>
      </c>
      <c r="DB12" s="25">
        <f t="shared" si="16"/>
        <v>0</v>
      </c>
      <c r="DC12" s="25">
        <f t="shared" si="17"/>
        <v>0</v>
      </c>
      <c r="DD12" s="25">
        <f t="shared" si="17"/>
        <v>0</v>
      </c>
      <c r="DE12" s="25">
        <f t="shared" si="17"/>
        <v>0</v>
      </c>
      <c r="DF12" s="25"/>
      <c r="DG12" s="25">
        <f t="shared" si="18"/>
        <v>0</v>
      </c>
      <c r="DH12" s="25">
        <f t="shared" si="18"/>
        <v>0</v>
      </c>
      <c r="DI12" s="25">
        <f t="shared" si="18"/>
        <v>0</v>
      </c>
    </row>
    <row r="13" spans="1:113" ht="78.75" customHeight="1" x14ac:dyDescent="0.25">
      <c r="A13" s="31"/>
      <c r="B13" s="34" t="s">
        <v>65</v>
      </c>
      <c r="C13" s="21" t="s">
        <v>66</v>
      </c>
      <c r="D13" s="22" t="s">
        <v>67</v>
      </c>
      <c r="E13" s="23">
        <v>510</v>
      </c>
      <c r="F13" s="24" t="s">
        <v>68</v>
      </c>
      <c r="G13" s="25">
        <f t="shared" si="0"/>
        <v>265804662</v>
      </c>
      <c r="H13" s="25"/>
      <c r="I13" s="25"/>
      <c r="J13" s="25"/>
      <c r="K13" s="25">
        <v>160000000</v>
      </c>
      <c r="L13" s="25">
        <v>14004396</v>
      </c>
      <c r="M13" s="25"/>
      <c r="N13" s="25"/>
      <c r="O13" s="25"/>
      <c r="P13" s="25"/>
      <c r="Q13" s="25"/>
      <c r="R13" s="25"/>
      <c r="S13" s="25"/>
      <c r="T13" s="25">
        <v>1796640</v>
      </c>
      <c r="U13" s="25"/>
      <c r="V13" s="25"/>
      <c r="W13" s="25"/>
      <c r="X13" s="25"/>
      <c r="Y13" s="25"/>
      <c r="Z13" s="25">
        <f>48000000+2053626+3000000+450000+19500000+7000000+10000000</f>
        <v>90003626</v>
      </c>
      <c r="AB13" s="27">
        <f t="shared" si="1"/>
        <v>0.92385733249479274</v>
      </c>
      <c r="AC13" s="25">
        <f t="shared" si="2"/>
        <v>245565586</v>
      </c>
      <c r="AD13" s="25"/>
      <c r="AE13" s="25"/>
      <c r="AF13" s="25"/>
      <c r="AG13" s="25"/>
      <c r="AH13" s="25">
        <v>160000000</v>
      </c>
      <c r="AI13" s="25">
        <f>+'[5]FEBRERO 2016'!$P$697</f>
        <v>14004396</v>
      </c>
      <c r="AJ13" s="25"/>
      <c r="AK13" s="25"/>
      <c r="AL13" s="25"/>
      <c r="AM13" s="25"/>
      <c r="AN13" s="25"/>
      <c r="AO13" s="25"/>
      <c r="AP13" s="25"/>
      <c r="AQ13" s="25">
        <f>+'[5]FEBRERO 2016'!$X$699</f>
        <v>1796640</v>
      </c>
      <c r="AR13" s="25"/>
      <c r="AS13" s="25"/>
      <c r="AT13" s="25"/>
      <c r="AU13" s="25"/>
      <c r="AV13" s="25"/>
      <c r="AW13" s="25">
        <f>+'[1]AGOSTO 2016'!$AG$2273</f>
        <v>69764550</v>
      </c>
      <c r="AX13" s="27">
        <f t="shared" si="3"/>
        <v>7.6142667505207262E-2</v>
      </c>
      <c r="AY13" s="25">
        <f t="shared" si="4"/>
        <v>20239076</v>
      </c>
      <c r="AZ13" s="25">
        <f t="shared" si="19"/>
        <v>0</v>
      </c>
      <c r="BA13" s="25">
        <f t="shared" si="6"/>
        <v>0</v>
      </c>
      <c r="BB13" s="25">
        <f t="shared" si="6"/>
        <v>0</v>
      </c>
      <c r="BC13" s="25">
        <f t="shared" si="7"/>
        <v>0</v>
      </c>
      <c r="BD13" s="25">
        <f t="shared" si="7"/>
        <v>0</v>
      </c>
      <c r="BE13" s="25">
        <f t="shared" si="7"/>
        <v>0</v>
      </c>
      <c r="BF13" s="25">
        <f t="shared" si="7"/>
        <v>0</v>
      </c>
      <c r="BG13" s="25">
        <f t="shared" si="7"/>
        <v>0</v>
      </c>
      <c r="BH13" s="25">
        <f t="shared" si="7"/>
        <v>0</v>
      </c>
      <c r="BI13" s="25">
        <f t="shared" si="7"/>
        <v>0</v>
      </c>
      <c r="BJ13" s="25">
        <f t="shared" si="7"/>
        <v>0</v>
      </c>
      <c r="BK13" s="25">
        <f t="shared" si="7"/>
        <v>0</v>
      </c>
      <c r="BL13" s="25">
        <f t="shared" si="7"/>
        <v>0</v>
      </c>
      <c r="BM13" s="25">
        <f t="shared" si="7"/>
        <v>0</v>
      </c>
      <c r="BN13" s="25">
        <f t="shared" si="7"/>
        <v>0</v>
      </c>
      <c r="BO13" s="25"/>
      <c r="BP13" s="25"/>
      <c r="BQ13" s="25">
        <f t="shared" si="8"/>
        <v>0</v>
      </c>
      <c r="BR13" s="25">
        <f t="shared" si="9"/>
        <v>20239076</v>
      </c>
      <c r="BS13" s="27">
        <f t="shared" si="10"/>
        <v>0.83806625633977783</v>
      </c>
      <c r="BT13" s="25">
        <f t="shared" si="11"/>
        <v>222761918</v>
      </c>
      <c r="BU13" s="25"/>
      <c r="BV13" s="25"/>
      <c r="BW13" s="25"/>
      <c r="BX13" s="25"/>
      <c r="BY13" s="25">
        <f>+'[1]AGOSTO 2016'!$H$2274+'[1]AGOSTO 2016'!$H$2276+'[1]AGOSTO 2016'!$H$2278+'[1]AGOSTO 2016'!$H$2280+'[1]AGOSTO 2016'!$H$2286+'[1]AGOSTO 2016'!$H$2288+'[1]AGOSTO 2016'!$H$2302+'[1]AGOSTO 2016'!$H$2322</f>
        <v>147658824</v>
      </c>
      <c r="BZ13" s="25">
        <f>+'[8]MAYO 2016'!$H$1359</f>
        <v>14004396</v>
      </c>
      <c r="CA13" s="25"/>
      <c r="CB13" s="25"/>
      <c r="CC13" s="25"/>
      <c r="CD13" s="25"/>
      <c r="CE13" s="25"/>
      <c r="CF13" s="25"/>
      <c r="CG13" s="25"/>
      <c r="CH13" s="25">
        <f>+'[8]MAYO 2016'!$H$1361</f>
        <v>1796640</v>
      </c>
      <c r="CI13" s="25"/>
      <c r="CJ13" s="25"/>
      <c r="CK13" s="25"/>
      <c r="CL13" s="25"/>
      <c r="CM13" s="25"/>
      <c r="CN13" s="25">
        <f>+'[1]AGOSTO 2016'!$H$2282+'[1]AGOSTO 2016'!$H$2290+'[1]AGOSTO 2016'!$H$2293+'[1]AGOSTO 2016'!$H$2297+'[1]AGOSTO 2016'!$H$2299+'[1]AGOSTO 2016'!$H$2301+'[1]AGOSTO 2016'!$H$2319+'[1]AGOSTO 2016'!$H$2320+'[1]AGOSTO 2016'!$H$2328+'[1]AGOSTO 2016'!$H$2331+'[1]AGOSTO 2016'!$H$2332+'[1]AGOSTO 2016'!$H$2333</f>
        <v>59302058</v>
      </c>
      <c r="CO13" s="27">
        <f t="shared" si="12"/>
        <v>0.16193374366022217</v>
      </c>
      <c r="CP13" s="25">
        <f t="shared" si="13"/>
        <v>43042744</v>
      </c>
      <c r="CQ13" s="25">
        <f t="shared" si="14"/>
        <v>0</v>
      </c>
      <c r="CR13" s="25">
        <f t="shared" si="14"/>
        <v>0</v>
      </c>
      <c r="CS13" s="25">
        <f t="shared" si="14"/>
        <v>0</v>
      </c>
      <c r="CT13" s="25">
        <f t="shared" si="14"/>
        <v>12341176</v>
      </c>
      <c r="CU13" s="25">
        <f t="shared" si="14"/>
        <v>0</v>
      </c>
      <c r="CV13" s="25">
        <f t="shared" si="14"/>
        <v>0</v>
      </c>
      <c r="CW13" s="25">
        <f t="shared" si="15"/>
        <v>0</v>
      </c>
      <c r="CX13" s="25">
        <f t="shared" si="15"/>
        <v>0</v>
      </c>
      <c r="CY13" s="25">
        <f t="shared" si="15"/>
        <v>0</v>
      </c>
      <c r="CZ13" s="25">
        <f t="shared" si="16"/>
        <v>0</v>
      </c>
      <c r="DA13" s="25">
        <f t="shared" si="16"/>
        <v>0</v>
      </c>
      <c r="DB13" s="25">
        <f t="shared" si="16"/>
        <v>0</v>
      </c>
      <c r="DC13" s="25">
        <f t="shared" si="17"/>
        <v>0</v>
      </c>
      <c r="DD13" s="25">
        <f t="shared" si="17"/>
        <v>0</v>
      </c>
      <c r="DE13" s="25">
        <f t="shared" si="17"/>
        <v>0</v>
      </c>
      <c r="DF13" s="25"/>
      <c r="DG13" s="25">
        <f t="shared" si="18"/>
        <v>0</v>
      </c>
      <c r="DH13" s="25">
        <f t="shared" si="18"/>
        <v>0</v>
      </c>
      <c r="DI13" s="25">
        <f t="shared" si="18"/>
        <v>30701568</v>
      </c>
    </row>
    <row r="14" spans="1:113" ht="60" customHeight="1" x14ac:dyDescent="0.25">
      <c r="A14" s="31"/>
      <c r="B14" s="169" t="s">
        <v>69</v>
      </c>
      <c r="C14" s="21" t="s">
        <v>70</v>
      </c>
      <c r="D14" s="22" t="s">
        <v>71</v>
      </c>
      <c r="E14" s="23">
        <v>510</v>
      </c>
      <c r="F14" s="24" t="s">
        <v>43</v>
      </c>
      <c r="G14" s="25">
        <f t="shared" si="0"/>
        <v>65000000</v>
      </c>
      <c r="H14" s="25"/>
      <c r="I14" s="25"/>
      <c r="J14" s="25"/>
      <c r="K14" s="25">
        <v>65000000</v>
      </c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B14" s="27">
        <f t="shared" si="1"/>
        <v>0.90550324615384614</v>
      </c>
      <c r="AC14" s="25">
        <f t="shared" si="2"/>
        <v>58857711</v>
      </c>
      <c r="AD14" s="25"/>
      <c r="AE14" s="25"/>
      <c r="AF14" s="25"/>
      <c r="AG14" s="25"/>
      <c r="AH14" s="25">
        <f>+'[1]AGOSTO 2016'!$O$2340</f>
        <v>58857711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7">
        <f t="shared" si="3"/>
        <v>9.4496753846153858E-2</v>
      </c>
      <c r="AY14" s="25">
        <f t="shared" si="4"/>
        <v>6142289</v>
      </c>
      <c r="AZ14" s="25">
        <f t="shared" si="19"/>
        <v>0</v>
      </c>
      <c r="BA14" s="25">
        <f t="shared" si="6"/>
        <v>0</v>
      </c>
      <c r="BB14" s="25">
        <f t="shared" si="6"/>
        <v>0</v>
      </c>
      <c r="BC14" s="25">
        <f t="shared" si="7"/>
        <v>6142289</v>
      </c>
      <c r="BD14" s="25">
        <f t="shared" si="7"/>
        <v>0</v>
      </c>
      <c r="BE14" s="25">
        <f t="shared" si="7"/>
        <v>0</v>
      </c>
      <c r="BF14" s="25">
        <f t="shared" si="7"/>
        <v>0</v>
      </c>
      <c r="BG14" s="25">
        <f t="shared" si="7"/>
        <v>0</v>
      </c>
      <c r="BH14" s="25">
        <f t="shared" si="7"/>
        <v>0</v>
      </c>
      <c r="BI14" s="25">
        <f t="shared" si="7"/>
        <v>0</v>
      </c>
      <c r="BJ14" s="25">
        <f t="shared" si="7"/>
        <v>0</v>
      </c>
      <c r="BK14" s="25">
        <f t="shared" si="7"/>
        <v>0</v>
      </c>
      <c r="BL14" s="25">
        <f t="shared" si="7"/>
        <v>0</v>
      </c>
      <c r="BM14" s="25">
        <f t="shared" si="7"/>
        <v>0</v>
      </c>
      <c r="BN14" s="25">
        <f t="shared" si="7"/>
        <v>0</v>
      </c>
      <c r="BO14" s="25"/>
      <c r="BP14" s="25">
        <f>+X14-AU14</f>
        <v>0</v>
      </c>
      <c r="BQ14" s="25">
        <f t="shared" si="8"/>
        <v>0</v>
      </c>
      <c r="BR14" s="25">
        <f t="shared" si="9"/>
        <v>0</v>
      </c>
      <c r="BS14" s="27">
        <f t="shared" si="10"/>
        <v>0.84011226153846152</v>
      </c>
      <c r="BT14" s="25">
        <f t="shared" si="11"/>
        <v>54607297</v>
      </c>
      <c r="BU14" s="25"/>
      <c r="BV14" s="25"/>
      <c r="BW14" s="25"/>
      <c r="BX14" s="25"/>
      <c r="BY14" s="25">
        <f>+'[1]AGOSTO 2016'!$H$2338</f>
        <v>54607297</v>
      </c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7">
        <f t="shared" si="12"/>
        <v>0.15988773846153848</v>
      </c>
      <c r="CP14" s="25">
        <f t="shared" si="13"/>
        <v>10392703</v>
      </c>
      <c r="CQ14" s="25">
        <f t="shared" si="14"/>
        <v>0</v>
      </c>
      <c r="CR14" s="25">
        <f t="shared" si="14"/>
        <v>0</v>
      </c>
      <c r="CS14" s="25">
        <f t="shared" si="14"/>
        <v>0</v>
      </c>
      <c r="CT14" s="25">
        <f t="shared" si="14"/>
        <v>10392703</v>
      </c>
      <c r="CU14" s="25">
        <f t="shared" si="14"/>
        <v>0</v>
      </c>
      <c r="CV14" s="25">
        <f t="shared" si="14"/>
        <v>0</v>
      </c>
      <c r="CW14" s="25">
        <f t="shared" si="15"/>
        <v>0</v>
      </c>
      <c r="CX14" s="25">
        <f t="shared" si="15"/>
        <v>0</v>
      </c>
      <c r="CY14" s="25">
        <f t="shared" si="15"/>
        <v>0</v>
      </c>
      <c r="CZ14" s="25">
        <f t="shared" si="16"/>
        <v>0</v>
      </c>
      <c r="DA14" s="25">
        <f t="shared" si="16"/>
        <v>0</v>
      </c>
      <c r="DB14" s="25">
        <f t="shared" si="16"/>
        <v>0</v>
      </c>
      <c r="DC14" s="25">
        <f t="shared" si="17"/>
        <v>0</v>
      </c>
      <c r="DD14" s="25">
        <f t="shared" si="17"/>
        <v>0</v>
      </c>
      <c r="DE14" s="25">
        <f t="shared" si="17"/>
        <v>0</v>
      </c>
      <c r="DF14" s="25"/>
      <c r="DG14" s="25">
        <f t="shared" si="18"/>
        <v>0</v>
      </c>
      <c r="DH14" s="25">
        <f t="shared" si="18"/>
        <v>0</v>
      </c>
      <c r="DI14" s="25">
        <f t="shared" si="18"/>
        <v>0</v>
      </c>
    </row>
    <row r="15" spans="1:113" ht="30" x14ac:dyDescent="0.25">
      <c r="A15" s="31"/>
      <c r="B15" s="182"/>
      <c r="C15" s="21" t="s">
        <v>72</v>
      </c>
      <c r="D15" s="22" t="s">
        <v>73</v>
      </c>
      <c r="E15" s="23">
        <v>510</v>
      </c>
      <c r="F15" s="24" t="s">
        <v>43</v>
      </c>
      <c r="G15" s="25">
        <f t="shared" si="0"/>
        <v>32000000</v>
      </c>
      <c r="H15" s="25"/>
      <c r="I15" s="25"/>
      <c r="J15" s="25"/>
      <c r="K15" s="25">
        <v>1568554</v>
      </c>
      <c r="L15" s="25"/>
      <c r="M15" s="25"/>
      <c r="N15" s="25"/>
      <c r="O15" s="25"/>
      <c r="P15" s="25"/>
      <c r="Q15" s="25"/>
      <c r="R15" s="25"/>
      <c r="S15" s="25">
        <v>30431446</v>
      </c>
      <c r="T15" s="25"/>
      <c r="U15" s="25"/>
      <c r="V15" s="25"/>
      <c r="W15" s="25"/>
      <c r="X15" s="25"/>
      <c r="Y15" s="25"/>
      <c r="Z15" s="25"/>
      <c r="AB15" s="27">
        <f t="shared" si="1"/>
        <v>0.77308631250000004</v>
      </c>
      <c r="AC15" s="25">
        <f t="shared" si="2"/>
        <v>24738762</v>
      </c>
      <c r="AD15" s="25"/>
      <c r="AE15" s="25"/>
      <c r="AF15" s="25"/>
      <c r="AG15" s="25"/>
      <c r="AH15" s="25">
        <f>+'[8]MAYO 2016'!$O$1393</f>
        <v>1550000</v>
      </c>
      <c r="AI15" s="25"/>
      <c r="AJ15" s="25"/>
      <c r="AK15" s="25"/>
      <c r="AL15" s="25"/>
      <c r="AM15" s="25"/>
      <c r="AN15" s="25"/>
      <c r="AO15" s="25"/>
      <c r="AP15" s="25">
        <f>+'[1]AGOSTO 2016'!$W$2380</f>
        <v>23188762</v>
      </c>
      <c r="AQ15" s="25"/>
      <c r="AR15" s="25"/>
      <c r="AS15" s="25"/>
      <c r="AT15" s="25"/>
      <c r="AU15" s="25"/>
      <c r="AV15" s="25"/>
      <c r="AW15" s="25"/>
      <c r="AX15" s="27">
        <f t="shared" si="3"/>
        <v>0.22691368749999996</v>
      </c>
      <c r="AY15" s="25">
        <f t="shared" si="4"/>
        <v>7261238</v>
      </c>
      <c r="AZ15" s="25">
        <f t="shared" si="19"/>
        <v>0</v>
      </c>
      <c r="BA15" s="25">
        <f t="shared" si="6"/>
        <v>0</v>
      </c>
      <c r="BB15" s="25">
        <f t="shared" si="6"/>
        <v>0</v>
      </c>
      <c r="BC15" s="25">
        <f t="shared" si="7"/>
        <v>18554</v>
      </c>
      <c r="BD15" s="25">
        <f t="shared" si="7"/>
        <v>0</v>
      </c>
      <c r="BE15" s="25">
        <f t="shared" si="7"/>
        <v>0</v>
      </c>
      <c r="BF15" s="25">
        <f t="shared" si="7"/>
        <v>0</v>
      </c>
      <c r="BG15" s="25">
        <f t="shared" si="7"/>
        <v>0</v>
      </c>
      <c r="BH15" s="25">
        <f t="shared" si="7"/>
        <v>0</v>
      </c>
      <c r="BI15" s="25">
        <f t="shared" si="7"/>
        <v>0</v>
      </c>
      <c r="BJ15" s="25">
        <f t="shared" si="7"/>
        <v>0</v>
      </c>
      <c r="BK15" s="25">
        <f t="shared" si="7"/>
        <v>7242684</v>
      </c>
      <c r="BL15" s="25">
        <f t="shared" si="7"/>
        <v>0</v>
      </c>
      <c r="BM15" s="25">
        <f t="shared" si="7"/>
        <v>0</v>
      </c>
      <c r="BN15" s="25">
        <f t="shared" si="7"/>
        <v>0</v>
      </c>
      <c r="BO15" s="25"/>
      <c r="BP15" s="25"/>
      <c r="BQ15" s="25">
        <f t="shared" si="8"/>
        <v>0</v>
      </c>
      <c r="BR15" s="25">
        <f t="shared" si="9"/>
        <v>0</v>
      </c>
      <c r="BS15" s="27">
        <f t="shared" si="10"/>
        <v>0.7727571875</v>
      </c>
      <c r="BT15" s="25">
        <f t="shared" si="11"/>
        <v>24728230</v>
      </c>
      <c r="BU15" s="25"/>
      <c r="BV15" s="25"/>
      <c r="BW15" s="25"/>
      <c r="BX15" s="25"/>
      <c r="BY15" s="25">
        <f>+'[8]MAYO 2016'!$O$1397</f>
        <v>1550000</v>
      </c>
      <c r="BZ15" s="25"/>
      <c r="CA15" s="25"/>
      <c r="CB15" s="25"/>
      <c r="CC15" s="25"/>
      <c r="CD15" s="25"/>
      <c r="CE15" s="25"/>
      <c r="CF15" s="25"/>
      <c r="CG15" s="25">
        <f>+'[1]AGOSTO 2016'!$H$2378-BY15</f>
        <v>23178230</v>
      </c>
      <c r="CH15" s="25"/>
      <c r="CI15" s="25"/>
      <c r="CJ15" s="25"/>
      <c r="CK15" s="25"/>
      <c r="CL15" s="25"/>
      <c r="CM15" s="25"/>
      <c r="CN15" s="25"/>
      <c r="CO15" s="27">
        <f t="shared" si="12"/>
        <v>0.2272428125</v>
      </c>
      <c r="CP15" s="25">
        <f t="shared" si="13"/>
        <v>7271770</v>
      </c>
      <c r="CQ15" s="25">
        <f t="shared" si="14"/>
        <v>0</v>
      </c>
      <c r="CR15" s="25">
        <f t="shared" si="14"/>
        <v>0</v>
      </c>
      <c r="CS15" s="25">
        <f t="shared" si="14"/>
        <v>0</v>
      </c>
      <c r="CT15" s="25">
        <f t="shared" si="14"/>
        <v>18554</v>
      </c>
      <c r="CU15" s="25">
        <f t="shared" si="14"/>
        <v>0</v>
      </c>
      <c r="CV15" s="25">
        <f t="shared" si="14"/>
        <v>0</v>
      </c>
      <c r="CW15" s="25">
        <f t="shared" si="15"/>
        <v>0</v>
      </c>
      <c r="CX15" s="25">
        <f t="shared" si="15"/>
        <v>0</v>
      </c>
      <c r="CY15" s="25">
        <f t="shared" si="15"/>
        <v>0</v>
      </c>
      <c r="CZ15" s="25">
        <f t="shared" si="16"/>
        <v>0</v>
      </c>
      <c r="DA15" s="25">
        <f t="shared" si="16"/>
        <v>0</v>
      </c>
      <c r="DB15" s="25">
        <f t="shared" si="16"/>
        <v>7253216</v>
      </c>
      <c r="DC15" s="25">
        <f t="shared" si="17"/>
        <v>0</v>
      </c>
      <c r="DD15" s="25">
        <f t="shared" si="17"/>
        <v>0</v>
      </c>
      <c r="DE15" s="25">
        <f t="shared" si="17"/>
        <v>0</v>
      </c>
      <c r="DF15" s="25"/>
      <c r="DG15" s="25">
        <f t="shared" si="18"/>
        <v>0</v>
      </c>
      <c r="DH15" s="25">
        <f t="shared" si="18"/>
        <v>0</v>
      </c>
      <c r="DI15" s="25">
        <f t="shared" si="18"/>
        <v>0</v>
      </c>
    </row>
    <row r="16" spans="1:113" ht="36.75" customHeight="1" x14ac:dyDescent="0.25">
      <c r="A16" s="31"/>
      <c r="B16" s="170"/>
      <c r="C16" s="21" t="s">
        <v>74</v>
      </c>
      <c r="D16" s="22" t="s">
        <v>75</v>
      </c>
      <c r="E16" s="23">
        <v>510</v>
      </c>
      <c r="F16" s="24" t="s">
        <v>76</v>
      </c>
      <c r="G16" s="25">
        <f t="shared" si="0"/>
        <v>0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>
        <f>4000000-4000000</f>
        <v>0</v>
      </c>
      <c r="AB16" s="27" t="e">
        <f t="shared" si="1"/>
        <v>#DIV/0!</v>
      </c>
      <c r="AC16" s="25">
        <f t="shared" si="2"/>
        <v>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7" t="e">
        <f t="shared" si="3"/>
        <v>#DIV/0!</v>
      </c>
      <c r="AY16" s="25">
        <f t="shared" si="4"/>
        <v>0</v>
      </c>
      <c r="AZ16" s="25">
        <f t="shared" si="19"/>
        <v>0</v>
      </c>
      <c r="BA16" s="25">
        <f t="shared" si="6"/>
        <v>0</v>
      </c>
      <c r="BB16" s="25">
        <f t="shared" si="6"/>
        <v>0</v>
      </c>
      <c r="BC16" s="25">
        <f t="shared" si="7"/>
        <v>0</v>
      </c>
      <c r="BD16" s="25">
        <f t="shared" si="7"/>
        <v>0</v>
      </c>
      <c r="BE16" s="25">
        <f t="shared" si="7"/>
        <v>0</v>
      </c>
      <c r="BF16" s="25">
        <f t="shared" si="7"/>
        <v>0</v>
      </c>
      <c r="BG16" s="25">
        <f t="shared" si="7"/>
        <v>0</v>
      </c>
      <c r="BH16" s="25">
        <f t="shared" si="7"/>
        <v>0</v>
      </c>
      <c r="BI16" s="25">
        <f t="shared" si="7"/>
        <v>0</v>
      </c>
      <c r="BJ16" s="25">
        <f t="shared" si="7"/>
        <v>0</v>
      </c>
      <c r="BK16" s="25">
        <f t="shared" si="7"/>
        <v>0</v>
      </c>
      <c r="BL16" s="25">
        <f t="shared" si="7"/>
        <v>0</v>
      </c>
      <c r="BM16" s="25">
        <f t="shared" si="7"/>
        <v>0</v>
      </c>
      <c r="BN16" s="25">
        <f t="shared" si="7"/>
        <v>0</v>
      </c>
      <c r="BO16" s="25"/>
      <c r="BP16" s="25"/>
      <c r="BQ16" s="25">
        <f t="shared" si="8"/>
        <v>0</v>
      </c>
      <c r="BR16" s="25">
        <f t="shared" si="9"/>
        <v>0</v>
      </c>
      <c r="BS16" s="27" t="e">
        <f t="shared" si="10"/>
        <v>#DIV/0!</v>
      </c>
      <c r="BT16" s="25">
        <f t="shared" si="11"/>
        <v>0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7" t="e">
        <f t="shared" si="12"/>
        <v>#DIV/0!</v>
      </c>
      <c r="CP16" s="25">
        <f t="shared" si="13"/>
        <v>0</v>
      </c>
      <c r="CQ16" s="25">
        <f t="shared" si="14"/>
        <v>0</v>
      </c>
      <c r="CR16" s="25">
        <f t="shared" si="14"/>
        <v>0</v>
      </c>
      <c r="CS16" s="25">
        <f t="shared" si="14"/>
        <v>0</v>
      </c>
      <c r="CT16" s="25">
        <f t="shared" si="14"/>
        <v>0</v>
      </c>
      <c r="CU16" s="25">
        <f t="shared" si="14"/>
        <v>0</v>
      </c>
      <c r="CV16" s="25">
        <f t="shared" si="14"/>
        <v>0</v>
      </c>
      <c r="CW16" s="25">
        <f t="shared" si="15"/>
        <v>0</v>
      </c>
      <c r="CX16" s="25">
        <f t="shared" si="15"/>
        <v>0</v>
      </c>
      <c r="CY16" s="25">
        <f t="shared" si="15"/>
        <v>0</v>
      </c>
      <c r="CZ16" s="25">
        <f t="shared" si="16"/>
        <v>0</v>
      </c>
      <c r="DA16" s="25">
        <f t="shared" si="16"/>
        <v>0</v>
      </c>
      <c r="DB16" s="25">
        <f t="shared" si="16"/>
        <v>0</v>
      </c>
      <c r="DC16" s="25">
        <f t="shared" si="17"/>
        <v>0</v>
      </c>
      <c r="DD16" s="25">
        <f t="shared" si="17"/>
        <v>0</v>
      </c>
      <c r="DE16" s="25">
        <f t="shared" si="17"/>
        <v>0</v>
      </c>
      <c r="DF16" s="25"/>
      <c r="DG16" s="25">
        <f t="shared" si="18"/>
        <v>0</v>
      </c>
      <c r="DH16" s="25">
        <f t="shared" si="18"/>
        <v>0</v>
      </c>
      <c r="DI16" s="25">
        <f t="shared" si="18"/>
        <v>0</v>
      </c>
    </row>
    <row r="17" spans="1:115" ht="21.75" customHeight="1" x14ac:dyDescent="0.25">
      <c r="A17" s="31"/>
      <c r="B17" s="155" t="s">
        <v>77</v>
      </c>
      <c r="C17" s="21" t="s">
        <v>78</v>
      </c>
      <c r="D17" s="22" t="s">
        <v>79</v>
      </c>
      <c r="E17" s="23">
        <v>510</v>
      </c>
      <c r="F17" s="24" t="s">
        <v>43</v>
      </c>
      <c r="G17" s="25">
        <f t="shared" si="0"/>
        <v>30800000</v>
      </c>
      <c r="H17" s="25"/>
      <c r="I17" s="25"/>
      <c r="J17" s="25"/>
      <c r="K17" s="25">
        <f>30800000</f>
        <v>30800000</v>
      </c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B17" s="27">
        <f t="shared" si="1"/>
        <v>1</v>
      </c>
      <c r="AC17" s="25">
        <f t="shared" si="2"/>
        <v>30800000</v>
      </c>
      <c r="AD17" s="25"/>
      <c r="AE17" s="25"/>
      <c r="AF17" s="25"/>
      <c r="AG17" s="25"/>
      <c r="AH17" s="25">
        <f>+'[7]JUNIO 2016'!$O$1629</f>
        <v>30800000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7">
        <f t="shared" si="3"/>
        <v>0</v>
      </c>
      <c r="AY17" s="25">
        <f t="shared" si="4"/>
        <v>0</v>
      </c>
      <c r="AZ17" s="25">
        <f>+H17</f>
        <v>0</v>
      </c>
      <c r="BA17" s="25">
        <f>+I17</f>
        <v>0</v>
      </c>
      <c r="BB17" s="25">
        <f>+J17</f>
        <v>0</v>
      </c>
      <c r="BC17" s="25">
        <f>+K17-AH17</f>
        <v>0</v>
      </c>
      <c r="BD17" s="25">
        <f t="shared" ref="BD17:BN17" si="20">+L17</f>
        <v>0</v>
      </c>
      <c r="BE17" s="25">
        <f t="shared" si="20"/>
        <v>0</v>
      </c>
      <c r="BF17" s="25">
        <f t="shared" si="20"/>
        <v>0</v>
      </c>
      <c r="BG17" s="25">
        <f t="shared" si="20"/>
        <v>0</v>
      </c>
      <c r="BH17" s="25">
        <f t="shared" si="20"/>
        <v>0</v>
      </c>
      <c r="BI17" s="25">
        <f t="shared" si="20"/>
        <v>0</v>
      </c>
      <c r="BJ17" s="25">
        <f t="shared" si="20"/>
        <v>0</v>
      </c>
      <c r="BK17" s="25">
        <f t="shared" si="20"/>
        <v>0</v>
      </c>
      <c r="BL17" s="25">
        <f t="shared" si="20"/>
        <v>0</v>
      </c>
      <c r="BM17" s="25">
        <f t="shared" si="20"/>
        <v>0</v>
      </c>
      <c r="BN17" s="25">
        <f t="shared" si="20"/>
        <v>0</v>
      </c>
      <c r="BO17" s="25"/>
      <c r="BP17" s="25">
        <f>+X17</f>
        <v>0</v>
      </c>
      <c r="BQ17" s="25">
        <f>+Y17</f>
        <v>0</v>
      </c>
      <c r="BR17" s="25">
        <f>+Z17</f>
        <v>0</v>
      </c>
      <c r="BS17" s="27">
        <f t="shared" si="10"/>
        <v>0.6428571428571429</v>
      </c>
      <c r="BT17" s="25">
        <f t="shared" si="11"/>
        <v>19800000</v>
      </c>
      <c r="BU17" s="25"/>
      <c r="BV17" s="25"/>
      <c r="BW17" s="25"/>
      <c r="BX17" s="25"/>
      <c r="BY17" s="25">
        <f>+'[6]JULIO 2016'!$H$1796</f>
        <v>19800000</v>
      </c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7">
        <f t="shared" si="12"/>
        <v>0.3571428571428571</v>
      </c>
      <c r="CP17" s="25">
        <f t="shared" si="13"/>
        <v>11000000</v>
      </c>
      <c r="CQ17" s="25">
        <f t="shared" si="14"/>
        <v>0</v>
      </c>
      <c r="CR17" s="25">
        <f t="shared" si="14"/>
        <v>0</v>
      </c>
      <c r="CS17" s="25">
        <f t="shared" si="14"/>
        <v>0</v>
      </c>
      <c r="CT17" s="25">
        <f t="shared" si="14"/>
        <v>11000000</v>
      </c>
      <c r="CU17" s="25">
        <f t="shared" si="14"/>
        <v>0</v>
      </c>
      <c r="CV17" s="25">
        <f t="shared" si="14"/>
        <v>0</v>
      </c>
      <c r="CW17" s="25">
        <f>N17-CB17</f>
        <v>0</v>
      </c>
      <c r="CX17" s="25">
        <f>O17-CC17</f>
        <v>0</v>
      </c>
      <c r="CY17" s="25">
        <f>P17-CD17</f>
        <v>0</v>
      </c>
      <c r="CZ17" s="25">
        <f t="shared" si="16"/>
        <v>0</v>
      </c>
      <c r="DA17" s="25">
        <f t="shared" si="16"/>
        <v>0</v>
      </c>
      <c r="DB17" s="25">
        <f t="shared" si="16"/>
        <v>0</v>
      </c>
      <c r="DC17" s="25">
        <f>T17-CH17</f>
        <v>0</v>
      </c>
      <c r="DD17" s="25">
        <f>U17-CI17</f>
        <v>0</v>
      </c>
      <c r="DE17" s="25">
        <f>V17-CJ17</f>
        <v>0</v>
      </c>
      <c r="DF17" s="25"/>
      <c r="DG17" s="25">
        <f>X17-CL17</f>
        <v>0</v>
      </c>
      <c r="DH17" s="25">
        <f>Y17-CM17</f>
        <v>0</v>
      </c>
      <c r="DI17" s="25">
        <f>Z17-CN17</f>
        <v>0</v>
      </c>
    </row>
    <row r="18" spans="1:115" ht="30.75" customHeight="1" x14ac:dyDescent="0.25">
      <c r="A18" s="31"/>
      <c r="B18" s="169" t="s">
        <v>80</v>
      </c>
      <c r="C18" s="21" t="s">
        <v>81</v>
      </c>
      <c r="D18" s="22" t="s">
        <v>82</v>
      </c>
      <c r="E18" s="23">
        <v>510</v>
      </c>
      <c r="F18" s="24" t="s">
        <v>43</v>
      </c>
      <c r="G18" s="25">
        <f t="shared" si="0"/>
        <v>17000000</v>
      </c>
      <c r="H18" s="25"/>
      <c r="I18" s="25"/>
      <c r="J18" s="25"/>
      <c r="K18" s="25">
        <v>17000000</v>
      </c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B18" s="27">
        <f t="shared" si="1"/>
        <v>0.53276688235294123</v>
      </c>
      <c r="AC18" s="25">
        <f t="shared" si="2"/>
        <v>9057037</v>
      </c>
      <c r="AD18" s="25"/>
      <c r="AE18" s="25"/>
      <c r="AF18" s="25"/>
      <c r="AG18" s="25"/>
      <c r="AH18" s="25">
        <f>+'[6]JULIO 2016'!$O$1808</f>
        <v>9057037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7">
        <f t="shared" si="3"/>
        <v>0.46723311764705877</v>
      </c>
      <c r="AY18" s="25">
        <f t="shared" si="4"/>
        <v>7942963</v>
      </c>
      <c r="AZ18" s="25">
        <f t="shared" ref="AZ18:BB19" si="21">H18-AE18</f>
        <v>0</v>
      </c>
      <c r="BA18" s="25">
        <f t="shared" si="21"/>
        <v>0</v>
      </c>
      <c r="BB18" s="25">
        <f t="shared" si="21"/>
        <v>0</v>
      </c>
      <c r="BC18" s="25">
        <f>+K18-AH18</f>
        <v>7942963</v>
      </c>
      <c r="BD18" s="25">
        <f t="shared" ref="BD18:BN19" si="22">+L18-AI18</f>
        <v>0</v>
      </c>
      <c r="BE18" s="25">
        <f t="shared" si="22"/>
        <v>0</v>
      </c>
      <c r="BF18" s="25">
        <f t="shared" si="22"/>
        <v>0</v>
      </c>
      <c r="BG18" s="25">
        <f t="shared" si="22"/>
        <v>0</v>
      </c>
      <c r="BH18" s="25">
        <f t="shared" si="22"/>
        <v>0</v>
      </c>
      <c r="BI18" s="25">
        <f t="shared" si="22"/>
        <v>0</v>
      </c>
      <c r="BJ18" s="25">
        <f t="shared" si="22"/>
        <v>0</v>
      </c>
      <c r="BK18" s="25">
        <f t="shared" si="22"/>
        <v>0</v>
      </c>
      <c r="BL18" s="25">
        <f t="shared" si="22"/>
        <v>0</v>
      </c>
      <c r="BM18" s="25">
        <f t="shared" si="22"/>
        <v>0</v>
      </c>
      <c r="BN18" s="25">
        <f t="shared" si="22"/>
        <v>0</v>
      </c>
      <c r="BO18" s="25"/>
      <c r="BP18" s="25"/>
      <c r="BQ18" s="25">
        <f>Y18-AV18</f>
        <v>0</v>
      </c>
      <c r="BR18" s="25">
        <f>+Z18-AW18</f>
        <v>0</v>
      </c>
      <c r="BS18" s="27">
        <f t="shared" si="10"/>
        <v>0.53276688235294123</v>
      </c>
      <c r="BT18" s="25">
        <f t="shared" si="11"/>
        <v>9057037</v>
      </c>
      <c r="BU18" s="25"/>
      <c r="BV18" s="25"/>
      <c r="BW18" s="25"/>
      <c r="BX18" s="25"/>
      <c r="BY18" s="25">
        <f>+'[6]JULIO 2016'!$H$1806</f>
        <v>9057037</v>
      </c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7">
        <f t="shared" si="12"/>
        <v>0.46723311764705877</v>
      </c>
      <c r="CP18" s="25">
        <f t="shared" si="13"/>
        <v>7942963</v>
      </c>
      <c r="CQ18" s="25">
        <f t="shared" si="14"/>
        <v>0</v>
      </c>
      <c r="CR18" s="25">
        <f t="shared" si="14"/>
        <v>0</v>
      </c>
      <c r="CS18" s="25">
        <f t="shared" si="14"/>
        <v>0</v>
      </c>
      <c r="CT18" s="25">
        <f t="shared" si="14"/>
        <v>7942963</v>
      </c>
      <c r="CU18" s="25">
        <f t="shared" si="14"/>
        <v>0</v>
      </c>
      <c r="CV18" s="25">
        <f t="shared" si="14"/>
        <v>0</v>
      </c>
      <c r="CW18" s="25">
        <f t="shared" ref="CW18:CY19" si="23">+N18-CB18</f>
        <v>0</v>
      </c>
      <c r="CX18" s="25">
        <f t="shared" si="23"/>
        <v>0</v>
      </c>
      <c r="CY18" s="25">
        <f t="shared" si="23"/>
        <v>0</v>
      </c>
      <c r="CZ18" s="25">
        <f t="shared" si="16"/>
        <v>0</v>
      </c>
      <c r="DA18" s="25">
        <f t="shared" si="16"/>
        <v>0</v>
      </c>
      <c r="DB18" s="25">
        <f t="shared" si="16"/>
        <v>0</v>
      </c>
      <c r="DC18" s="25">
        <f t="shared" ref="DC18:DE19" si="24">+T18-CH18</f>
        <v>0</v>
      </c>
      <c r="DD18" s="25">
        <f t="shared" si="24"/>
        <v>0</v>
      </c>
      <c r="DE18" s="25">
        <f t="shared" si="24"/>
        <v>0</v>
      </c>
      <c r="DF18" s="25"/>
      <c r="DG18" s="25">
        <f t="shared" ref="DG18:DI19" si="25">+X18-CL18</f>
        <v>0</v>
      </c>
      <c r="DH18" s="25">
        <f t="shared" si="25"/>
        <v>0</v>
      </c>
      <c r="DI18" s="25">
        <f t="shared" si="25"/>
        <v>0</v>
      </c>
    </row>
    <row r="19" spans="1:115" ht="28.5" customHeight="1" x14ac:dyDescent="0.25">
      <c r="A19" s="38"/>
      <c r="B19" s="170"/>
      <c r="C19" s="21" t="s">
        <v>83</v>
      </c>
      <c r="D19" s="22" t="s">
        <v>84</v>
      </c>
      <c r="E19" s="23">
        <v>510</v>
      </c>
      <c r="F19" s="24" t="s">
        <v>85</v>
      </c>
      <c r="G19" s="25">
        <f t="shared" si="0"/>
        <v>61000000</v>
      </c>
      <c r="H19" s="25"/>
      <c r="I19" s="25"/>
      <c r="J19" s="25"/>
      <c r="K19" s="25">
        <v>40000000</v>
      </c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>
        <v>21000000</v>
      </c>
      <c r="AB19" s="27">
        <f t="shared" si="1"/>
        <v>0.95467993442622956</v>
      </c>
      <c r="AC19" s="25">
        <f t="shared" si="2"/>
        <v>58235476</v>
      </c>
      <c r="AD19" s="25"/>
      <c r="AE19" s="25"/>
      <c r="AF19" s="25"/>
      <c r="AG19" s="25"/>
      <c r="AH19" s="25">
        <f>+'[1]AGOSTO 2016'!$O$2418</f>
        <v>37235476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>
        <f>+'[1]AGOSTO 2016'!$AG$2418</f>
        <v>21000000</v>
      </c>
      <c r="AX19" s="27">
        <f t="shared" si="3"/>
        <v>4.5320065573770441E-2</v>
      </c>
      <c r="AY19" s="25">
        <f t="shared" si="4"/>
        <v>2764524</v>
      </c>
      <c r="AZ19" s="25">
        <f t="shared" si="21"/>
        <v>0</v>
      </c>
      <c r="BA19" s="25">
        <f t="shared" si="21"/>
        <v>0</v>
      </c>
      <c r="BB19" s="25">
        <f t="shared" si="21"/>
        <v>0</v>
      </c>
      <c r="BC19" s="25">
        <f>+K19-AH19</f>
        <v>2764524</v>
      </c>
      <c r="BD19" s="25">
        <f t="shared" si="22"/>
        <v>0</v>
      </c>
      <c r="BE19" s="25">
        <f t="shared" si="22"/>
        <v>0</v>
      </c>
      <c r="BF19" s="25">
        <f t="shared" si="22"/>
        <v>0</v>
      </c>
      <c r="BG19" s="25">
        <f t="shared" si="22"/>
        <v>0</v>
      </c>
      <c r="BH19" s="25">
        <f t="shared" si="22"/>
        <v>0</v>
      </c>
      <c r="BI19" s="25">
        <f t="shared" si="22"/>
        <v>0</v>
      </c>
      <c r="BJ19" s="25">
        <f t="shared" si="22"/>
        <v>0</v>
      </c>
      <c r="BK19" s="25">
        <f t="shared" si="22"/>
        <v>0</v>
      </c>
      <c r="BL19" s="25">
        <f t="shared" si="22"/>
        <v>0</v>
      </c>
      <c r="BM19" s="25">
        <f t="shared" si="22"/>
        <v>0</v>
      </c>
      <c r="BN19" s="25">
        <f t="shared" si="22"/>
        <v>0</v>
      </c>
      <c r="BO19" s="25"/>
      <c r="BP19" s="25"/>
      <c r="BQ19" s="25">
        <f>Y19-AV19</f>
        <v>0</v>
      </c>
      <c r="BR19" s="25">
        <f>+Z19-AW19</f>
        <v>0</v>
      </c>
      <c r="BS19" s="27">
        <f t="shared" si="10"/>
        <v>0.56934737704918037</v>
      </c>
      <c r="BT19" s="25">
        <f t="shared" si="11"/>
        <v>34730190</v>
      </c>
      <c r="BU19" s="25"/>
      <c r="BV19" s="25"/>
      <c r="BW19" s="25"/>
      <c r="BX19" s="25"/>
      <c r="BY19" s="25">
        <f>+'[1]AGOSTO 2016'!$H$2416</f>
        <v>34730190</v>
      </c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7">
        <f t="shared" si="12"/>
        <v>0.43065262295081963</v>
      </c>
      <c r="CP19" s="25">
        <f t="shared" si="13"/>
        <v>26269810</v>
      </c>
      <c r="CQ19" s="25">
        <f t="shared" si="14"/>
        <v>0</v>
      </c>
      <c r="CR19" s="25">
        <f t="shared" si="14"/>
        <v>0</v>
      </c>
      <c r="CS19" s="25">
        <f t="shared" si="14"/>
        <v>0</v>
      </c>
      <c r="CT19" s="25">
        <f t="shared" si="14"/>
        <v>5269810</v>
      </c>
      <c r="CU19" s="25">
        <f t="shared" si="14"/>
        <v>0</v>
      </c>
      <c r="CV19" s="25">
        <f t="shared" si="14"/>
        <v>0</v>
      </c>
      <c r="CW19" s="25">
        <f t="shared" si="23"/>
        <v>0</v>
      </c>
      <c r="CX19" s="25">
        <f t="shared" si="23"/>
        <v>0</v>
      </c>
      <c r="CY19" s="25">
        <f t="shared" si="23"/>
        <v>0</v>
      </c>
      <c r="CZ19" s="25">
        <f t="shared" si="16"/>
        <v>0</v>
      </c>
      <c r="DA19" s="25">
        <f t="shared" si="16"/>
        <v>0</v>
      </c>
      <c r="DB19" s="25">
        <f t="shared" si="16"/>
        <v>0</v>
      </c>
      <c r="DC19" s="25">
        <f t="shared" si="24"/>
        <v>0</v>
      </c>
      <c r="DD19" s="25">
        <f t="shared" si="24"/>
        <v>0</v>
      </c>
      <c r="DE19" s="25">
        <f t="shared" si="24"/>
        <v>0</v>
      </c>
      <c r="DF19" s="25"/>
      <c r="DG19" s="25">
        <f t="shared" si="25"/>
        <v>0</v>
      </c>
      <c r="DH19" s="25">
        <f t="shared" si="25"/>
        <v>0</v>
      </c>
      <c r="DI19" s="25">
        <f t="shared" si="25"/>
        <v>21000000</v>
      </c>
    </row>
    <row r="20" spans="1:115" s="47" customFormat="1" ht="17.25" customHeight="1" thickBot="1" x14ac:dyDescent="0.3">
      <c r="A20" s="39"/>
      <c r="B20" s="189" t="s">
        <v>86</v>
      </c>
      <c r="C20" s="190"/>
      <c r="D20" s="190"/>
      <c r="E20" s="191"/>
      <c r="F20" s="40"/>
      <c r="G20" s="41">
        <f t="shared" ref="G20:V20" si="26">SUM(G4:G19)</f>
        <v>1437480977</v>
      </c>
      <c r="H20" s="41">
        <f t="shared" si="26"/>
        <v>0</v>
      </c>
      <c r="I20" s="41">
        <f t="shared" si="26"/>
        <v>450000000</v>
      </c>
      <c r="J20" s="41">
        <f t="shared" si="26"/>
        <v>0</v>
      </c>
      <c r="K20" s="41">
        <f t="shared" si="26"/>
        <v>749568554</v>
      </c>
      <c r="L20" s="41">
        <f t="shared" si="26"/>
        <v>14004396</v>
      </c>
      <c r="M20" s="41">
        <f t="shared" si="26"/>
        <v>0</v>
      </c>
      <c r="N20" s="41">
        <f t="shared" si="26"/>
        <v>0</v>
      </c>
      <c r="O20" s="41">
        <f t="shared" si="26"/>
        <v>0</v>
      </c>
      <c r="P20" s="41">
        <f t="shared" si="26"/>
        <v>0</v>
      </c>
      <c r="Q20" s="41">
        <f t="shared" si="26"/>
        <v>0</v>
      </c>
      <c r="R20" s="41">
        <f t="shared" si="26"/>
        <v>0</v>
      </c>
      <c r="S20" s="41">
        <f t="shared" si="26"/>
        <v>30431446</v>
      </c>
      <c r="T20" s="41">
        <f t="shared" si="26"/>
        <v>1796640</v>
      </c>
      <c r="U20" s="41">
        <f t="shared" si="26"/>
        <v>0</v>
      </c>
      <c r="V20" s="41">
        <f t="shared" si="26"/>
        <v>0</v>
      </c>
      <c r="W20" s="41"/>
      <c r="X20" s="41">
        <f>SUM(X4:X19)</f>
        <v>0</v>
      </c>
      <c r="Y20" s="41">
        <f>SUM(Y4:Y19)</f>
        <v>0</v>
      </c>
      <c r="Z20" s="41">
        <f>SUM(Z4:Z19)</f>
        <v>191679941</v>
      </c>
      <c r="AA20" s="42"/>
      <c r="AB20" s="43">
        <f t="shared" si="1"/>
        <v>0.64029251289354627</v>
      </c>
      <c r="AC20" s="44">
        <f>SUM(AC4:AC19)</f>
        <v>920408307</v>
      </c>
      <c r="AD20" s="44"/>
      <c r="AE20" s="44">
        <f t="shared" ref="AE20:AW20" si="27">SUM(AE4:AE19)</f>
        <v>0</v>
      </c>
      <c r="AF20" s="44">
        <f t="shared" si="27"/>
        <v>75171597</v>
      </c>
      <c r="AG20" s="44">
        <f t="shared" si="27"/>
        <v>0</v>
      </c>
      <c r="AH20" s="44">
        <f t="shared" si="27"/>
        <v>684901135</v>
      </c>
      <c r="AI20" s="44">
        <f t="shared" si="27"/>
        <v>14004396</v>
      </c>
      <c r="AJ20" s="44">
        <f t="shared" si="27"/>
        <v>0</v>
      </c>
      <c r="AK20" s="44">
        <f t="shared" si="27"/>
        <v>0</v>
      </c>
      <c r="AL20" s="44">
        <f t="shared" si="27"/>
        <v>0</v>
      </c>
      <c r="AM20" s="44">
        <f t="shared" si="27"/>
        <v>0</v>
      </c>
      <c r="AN20" s="44">
        <f t="shared" si="27"/>
        <v>0</v>
      </c>
      <c r="AO20" s="44">
        <f t="shared" si="27"/>
        <v>0</v>
      </c>
      <c r="AP20" s="44">
        <f t="shared" si="27"/>
        <v>23188762</v>
      </c>
      <c r="AQ20" s="44">
        <f t="shared" si="27"/>
        <v>1796640</v>
      </c>
      <c r="AR20" s="44">
        <f t="shared" si="27"/>
        <v>0</v>
      </c>
      <c r="AS20" s="44">
        <f t="shared" si="27"/>
        <v>0</v>
      </c>
      <c r="AT20" s="44">
        <f t="shared" si="27"/>
        <v>0</v>
      </c>
      <c r="AU20" s="44">
        <f t="shared" si="27"/>
        <v>0</v>
      </c>
      <c r="AV20" s="44">
        <f t="shared" si="27"/>
        <v>0</v>
      </c>
      <c r="AW20" s="44">
        <f t="shared" si="27"/>
        <v>121345777</v>
      </c>
      <c r="AX20" s="45">
        <f t="shared" si="3"/>
        <v>0.35970748710645373</v>
      </c>
      <c r="AY20" s="44">
        <f t="shared" ref="AY20:BN20" si="28">SUM(AY4:AY19)</f>
        <v>517072670</v>
      </c>
      <c r="AZ20" s="44">
        <f t="shared" si="28"/>
        <v>0</v>
      </c>
      <c r="BA20" s="44">
        <f t="shared" si="28"/>
        <v>374828403</v>
      </c>
      <c r="BB20" s="44">
        <f t="shared" si="28"/>
        <v>0</v>
      </c>
      <c r="BC20" s="44">
        <f t="shared" si="28"/>
        <v>64667419</v>
      </c>
      <c r="BD20" s="44">
        <f t="shared" si="28"/>
        <v>0</v>
      </c>
      <c r="BE20" s="44">
        <f t="shared" si="28"/>
        <v>0</v>
      </c>
      <c r="BF20" s="44">
        <f t="shared" si="28"/>
        <v>0</v>
      </c>
      <c r="BG20" s="44">
        <f t="shared" si="28"/>
        <v>0</v>
      </c>
      <c r="BH20" s="44">
        <f t="shared" si="28"/>
        <v>0</v>
      </c>
      <c r="BI20" s="44">
        <f t="shared" si="28"/>
        <v>0</v>
      </c>
      <c r="BJ20" s="44">
        <f t="shared" si="28"/>
        <v>0</v>
      </c>
      <c r="BK20" s="44">
        <f t="shared" si="28"/>
        <v>7242684</v>
      </c>
      <c r="BL20" s="44">
        <f t="shared" si="28"/>
        <v>0</v>
      </c>
      <c r="BM20" s="44">
        <f t="shared" si="28"/>
        <v>0</v>
      </c>
      <c r="BN20" s="44">
        <f t="shared" si="28"/>
        <v>0</v>
      </c>
      <c r="BO20" s="44"/>
      <c r="BP20" s="44">
        <f>SUM(BP4:BP19)</f>
        <v>0</v>
      </c>
      <c r="BQ20" s="44">
        <f>SUM(BQ4:BQ19)</f>
        <v>0</v>
      </c>
      <c r="BR20" s="44">
        <f>SUM(BR4:BR19)</f>
        <v>70334164</v>
      </c>
      <c r="BS20" s="45">
        <f t="shared" si="10"/>
        <v>0.53056511578448529</v>
      </c>
      <c r="BT20" s="44">
        <f t="shared" ref="BT20:CJ20" si="29">SUM(BT4:BT19)</f>
        <v>762677261</v>
      </c>
      <c r="BU20" s="44">
        <f t="shared" si="29"/>
        <v>0</v>
      </c>
      <c r="BV20" s="44">
        <f t="shared" si="29"/>
        <v>0</v>
      </c>
      <c r="BW20" s="44">
        <f t="shared" si="29"/>
        <v>74671597</v>
      </c>
      <c r="BX20" s="44">
        <f t="shared" si="29"/>
        <v>0</v>
      </c>
      <c r="BY20" s="44">
        <f t="shared" si="29"/>
        <v>560725189</v>
      </c>
      <c r="BZ20" s="44">
        <f t="shared" si="29"/>
        <v>14004396</v>
      </c>
      <c r="CA20" s="44">
        <f t="shared" si="29"/>
        <v>0</v>
      </c>
      <c r="CB20" s="44">
        <f t="shared" si="29"/>
        <v>0</v>
      </c>
      <c r="CC20" s="44">
        <f t="shared" si="29"/>
        <v>0</v>
      </c>
      <c r="CD20" s="44">
        <f t="shared" si="29"/>
        <v>0</v>
      </c>
      <c r="CE20" s="44">
        <f t="shared" si="29"/>
        <v>0</v>
      </c>
      <c r="CF20" s="44">
        <f t="shared" si="29"/>
        <v>0</v>
      </c>
      <c r="CG20" s="44">
        <f t="shared" si="29"/>
        <v>23178230</v>
      </c>
      <c r="CH20" s="44">
        <f t="shared" si="29"/>
        <v>1796640</v>
      </c>
      <c r="CI20" s="44">
        <f t="shared" si="29"/>
        <v>0</v>
      </c>
      <c r="CJ20" s="44">
        <f t="shared" si="29"/>
        <v>0</v>
      </c>
      <c r="CK20" s="44"/>
      <c r="CL20" s="44">
        <f>SUM(CL4:CL19)</f>
        <v>0</v>
      </c>
      <c r="CM20" s="44">
        <f>SUM(CM4:CM19)</f>
        <v>0</v>
      </c>
      <c r="CN20" s="44">
        <f>SUM(CN4:CN19)</f>
        <v>88301209</v>
      </c>
      <c r="CO20" s="45">
        <f t="shared" si="12"/>
        <v>0.46943488421551471</v>
      </c>
      <c r="CP20" s="44">
        <f t="shared" ref="CP20:DI20" si="30">SUM(CP4:CP19)</f>
        <v>674803716</v>
      </c>
      <c r="CQ20" s="44">
        <f t="shared" si="30"/>
        <v>0</v>
      </c>
      <c r="CR20" s="44">
        <f t="shared" si="30"/>
        <v>375328403</v>
      </c>
      <c r="CS20" s="44">
        <f t="shared" si="30"/>
        <v>0</v>
      </c>
      <c r="CT20" s="44">
        <f t="shared" si="30"/>
        <v>188843365</v>
      </c>
      <c r="CU20" s="44">
        <f t="shared" si="30"/>
        <v>0</v>
      </c>
      <c r="CV20" s="44">
        <f t="shared" si="30"/>
        <v>0</v>
      </c>
      <c r="CW20" s="44">
        <f t="shared" si="30"/>
        <v>0</v>
      </c>
      <c r="CX20" s="44">
        <f t="shared" si="30"/>
        <v>0</v>
      </c>
      <c r="CY20" s="44">
        <f t="shared" si="30"/>
        <v>0</v>
      </c>
      <c r="CZ20" s="44">
        <f t="shared" si="30"/>
        <v>0</v>
      </c>
      <c r="DA20" s="44">
        <f t="shared" si="30"/>
        <v>0</v>
      </c>
      <c r="DB20" s="44">
        <f t="shared" si="30"/>
        <v>7253216</v>
      </c>
      <c r="DC20" s="44">
        <f t="shared" si="30"/>
        <v>0</v>
      </c>
      <c r="DD20" s="44">
        <f t="shared" si="30"/>
        <v>0</v>
      </c>
      <c r="DE20" s="44">
        <f t="shared" si="30"/>
        <v>0</v>
      </c>
      <c r="DF20" s="44">
        <f t="shared" si="30"/>
        <v>0</v>
      </c>
      <c r="DG20" s="44">
        <f t="shared" si="30"/>
        <v>0</v>
      </c>
      <c r="DH20" s="44">
        <f t="shared" si="30"/>
        <v>0</v>
      </c>
      <c r="DI20" s="46">
        <f t="shared" si="30"/>
        <v>103378732</v>
      </c>
    </row>
    <row r="21" spans="1:115" ht="40.5" customHeight="1" thickTop="1" x14ac:dyDescent="0.25">
      <c r="A21" s="20" t="s">
        <v>87</v>
      </c>
      <c r="B21" s="192" t="s">
        <v>88</v>
      </c>
      <c r="C21" s="21" t="s">
        <v>89</v>
      </c>
      <c r="D21" s="22" t="s">
        <v>90</v>
      </c>
      <c r="E21" s="23">
        <v>410</v>
      </c>
      <c r="F21" s="48" t="s">
        <v>91</v>
      </c>
      <c r="G21" s="25">
        <f t="shared" ref="G21:G57" si="31">SUM(H21:Z21)</f>
        <v>450000000</v>
      </c>
      <c r="H21" s="49"/>
      <c r="I21" s="25">
        <v>450000000</v>
      </c>
      <c r="J21" s="50"/>
      <c r="K21" s="25"/>
      <c r="L21" s="49"/>
      <c r="M21" s="50"/>
      <c r="N21" s="50"/>
      <c r="O21" s="50"/>
      <c r="P21" s="50"/>
      <c r="Q21" s="51"/>
      <c r="R21" s="50"/>
      <c r="S21" s="50"/>
      <c r="T21" s="50"/>
      <c r="U21" s="50"/>
      <c r="V21" s="50"/>
      <c r="W21" s="50"/>
      <c r="X21" s="50"/>
      <c r="Y21" s="50"/>
      <c r="Z21" s="50"/>
      <c r="AB21" s="52">
        <f t="shared" si="1"/>
        <v>0.99897389333333331</v>
      </c>
      <c r="AC21" s="25">
        <f t="shared" ref="AC21:AC57" si="32">SUM(AD21:AW21)</f>
        <v>449538252</v>
      </c>
      <c r="AD21" s="25"/>
      <c r="AE21" s="25"/>
      <c r="AF21" s="25">
        <f>+'[1]AGOSTO 2016'!$M$962</f>
        <v>449538252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7">
        <f t="shared" si="3"/>
        <v>1.0261066666666929E-3</v>
      </c>
      <c r="AY21" s="25">
        <f t="shared" ref="AY21:AY57" si="33">SUM(AZ21:BR21)</f>
        <v>461748</v>
      </c>
      <c r="AZ21" s="25">
        <f t="shared" ref="AZ21:BN57" si="34">H21-AE21</f>
        <v>0</v>
      </c>
      <c r="BA21" s="25">
        <f t="shared" si="34"/>
        <v>461748</v>
      </c>
      <c r="BB21" s="25">
        <f t="shared" si="34"/>
        <v>0</v>
      </c>
      <c r="BC21" s="25">
        <f t="shared" ref="BC21:BN35" si="35">+K21-AH21</f>
        <v>0</v>
      </c>
      <c r="BD21" s="25">
        <f t="shared" si="35"/>
        <v>0</v>
      </c>
      <c r="BE21" s="25">
        <f t="shared" si="35"/>
        <v>0</v>
      </c>
      <c r="BF21" s="25">
        <f t="shared" si="35"/>
        <v>0</v>
      </c>
      <c r="BG21" s="25">
        <f t="shared" si="35"/>
        <v>0</v>
      </c>
      <c r="BH21" s="25">
        <f t="shared" si="35"/>
        <v>0</v>
      </c>
      <c r="BI21" s="25">
        <f t="shared" si="35"/>
        <v>0</v>
      </c>
      <c r="BJ21" s="25">
        <f t="shared" si="35"/>
        <v>0</v>
      </c>
      <c r="BK21" s="25">
        <f t="shared" si="35"/>
        <v>0</v>
      </c>
      <c r="BL21" s="25">
        <f t="shared" si="35"/>
        <v>0</v>
      </c>
      <c r="BM21" s="25">
        <f t="shared" si="35"/>
        <v>0</v>
      </c>
      <c r="BN21" s="25">
        <f t="shared" si="35"/>
        <v>0</v>
      </c>
      <c r="BO21" s="25"/>
      <c r="BP21" s="25"/>
      <c r="BQ21" s="25"/>
      <c r="BR21" s="25">
        <f t="shared" ref="BR21:BR35" si="36">+Z21-AW21</f>
        <v>0</v>
      </c>
      <c r="BS21" s="27">
        <f t="shared" si="10"/>
        <v>0.28551611555555556</v>
      </c>
      <c r="BT21" s="25">
        <f t="shared" ref="BT21:BT57" si="37">SUM(BU21:CN21)</f>
        <v>128482252</v>
      </c>
      <c r="BU21" s="25"/>
      <c r="BV21" s="25"/>
      <c r="BW21" s="25">
        <f>+'[1]AGOSTO 2016'!$H$960</f>
        <v>128482252</v>
      </c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7">
        <f t="shared" si="12"/>
        <v>0.71448388444444444</v>
      </c>
      <c r="CP21" s="25">
        <f t="shared" ref="CP21:CP57" si="38">SUM(CQ21:DI21)</f>
        <v>321517748</v>
      </c>
      <c r="CQ21" s="25">
        <f t="shared" ref="CQ21:CV57" si="39">H21-BV21</f>
        <v>0</v>
      </c>
      <c r="CR21" s="25">
        <f t="shared" si="39"/>
        <v>321517748</v>
      </c>
      <c r="CS21" s="25">
        <f t="shared" si="39"/>
        <v>0</v>
      </c>
      <c r="CT21" s="25">
        <f t="shared" si="39"/>
        <v>0</v>
      </c>
      <c r="CU21" s="25">
        <f t="shared" si="39"/>
        <v>0</v>
      </c>
      <c r="CV21" s="25">
        <f t="shared" si="39"/>
        <v>0</v>
      </c>
      <c r="CW21" s="25">
        <f t="shared" ref="CW21:CY35" si="40">+N21-CB21</f>
        <v>0</v>
      </c>
      <c r="CX21" s="25">
        <f t="shared" si="40"/>
        <v>0</v>
      </c>
      <c r="CY21" s="25">
        <f t="shared" si="40"/>
        <v>0</v>
      </c>
      <c r="CZ21" s="25">
        <f t="shared" ref="CZ21:DE45" si="41">Q21-CE21</f>
        <v>0</v>
      </c>
      <c r="DA21" s="25">
        <f t="shared" si="41"/>
        <v>0</v>
      </c>
      <c r="DB21" s="25">
        <f t="shared" si="41"/>
        <v>0</v>
      </c>
      <c r="DC21" s="25">
        <f t="shared" ref="DC21:DE29" si="42">+T21-CH21</f>
        <v>0</v>
      </c>
      <c r="DD21" s="25">
        <f t="shared" si="42"/>
        <v>0</v>
      </c>
      <c r="DE21" s="25">
        <f t="shared" si="42"/>
        <v>0</v>
      </c>
      <c r="DF21" s="25"/>
      <c r="DG21" s="25">
        <f t="shared" ref="DG21:DI29" si="43">+X21-CL21</f>
        <v>0</v>
      </c>
      <c r="DH21" s="25">
        <f t="shared" si="43"/>
        <v>0</v>
      </c>
      <c r="DI21" s="25">
        <f t="shared" si="43"/>
        <v>0</v>
      </c>
    </row>
    <row r="22" spans="1:115" ht="48.75" customHeight="1" x14ac:dyDescent="0.25">
      <c r="A22" s="31"/>
      <c r="B22" s="187"/>
      <c r="C22" s="21" t="s">
        <v>92</v>
      </c>
      <c r="D22" s="22" t="s">
        <v>93</v>
      </c>
      <c r="E22" s="23">
        <v>410</v>
      </c>
      <c r="F22" s="24" t="s">
        <v>91</v>
      </c>
      <c r="G22" s="25">
        <f t="shared" si="31"/>
        <v>150000000</v>
      </c>
      <c r="H22" s="25"/>
      <c r="I22" s="25">
        <v>150000000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B22" s="27">
        <f t="shared" si="1"/>
        <v>0.88881006666666662</v>
      </c>
      <c r="AC22" s="25">
        <f t="shared" si="32"/>
        <v>133321510</v>
      </c>
      <c r="AD22" s="25"/>
      <c r="AE22" s="25"/>
      <c r="AF22" s="25">
        <f>+'[1]AGOSTO 2016'!$M$978</f>
        <v>133321510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7">
        <f t="shared" si="3"/>
        <v>0.11118993333333338</v>
      </c>
      <c r="AY22" s="25">
        <f t="shared" si="33"/>
        <v>16678490</v>
      </c>
      <c r="AZ22" s="25">
        <f t="shared" si="34"/>
        <v>0</v>
      </c>
      <c r="BA22" s="25">
        <f t="shared" si="34"/>
        <v>16678490</v>
      </c>
      <c r="BB22" s="25">
        <f t="shared" si="34"/>
        <v>0</v>
      </c>
      <c r="BC22" s="25">
        <f t="shared" si="35"/>
        <v>0</v>
      </c>
      <c r="BD22" s="25">
        <f t="shared" si="35"/>
        <v>0</v>
      </c>
      <c r="BE22" s="25">
        <f t="shared" si="35"/>
        <v>0</v>
      </c>
      <c r="BF22" s="25">
        <f t="shared" si="35"/>
        <v>0</v>
      </c>
      <c r="BG22" s="25">
        <f t="shared" si="35"/>
        <v>0</v>
      </c>
      <c r="BH22" s="25">
        <f t="shared" si="35"/>
        <v>0</v>
      </c>
      <c r="BI22" s="25">
        <f t="shared" si="35"/>
        <v>0</v>
      </c>
      <c r="BJ22" s="25">
        <f t="shared" si="35"/>
        <v>0</v>
      </c>
      <c r="BK22" s="25">
        <f t="shared" si="35"/>
        <v>0</v>
      </c>
      <c r="BL22" s="25">
        <f t="shared" si="35"/>
        <v>0</v>
      </c>
      <c r="BM22" s="25">
        <f t="shared" si="35"/>
        <v>0</v>
      </c>
      <c r="BN22" s="25">
        <f t="shared" si="35"/>
        <v>0</v>
      </c>
      <c r="BO22" s="25"/>
      <c r="BP22" s="25"/>
      <c r="BQ22" s="25"/>
      <c r="BR22" s="25">
        <f t="shared" si="36"/>
        <v>0</v>
      </c>
      <c r="BS22" s="27">
        <f t="shared" si="10"/>
        <v>0.39470993333333332</v>
      </c>
      <c r="BT22" s="25">
        <f t="shared" si="37"/>
        <v>59206490</v>
      </c>
      <c r="BU22" s="25"/>
      <c r="BV22" s="25"/>
      <c r="BW22" s="25">
        <f>+'[1]AGOSTO 2016'!$H$976</f>
        <v>59206490</v>
      </c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7">
        <f t="shared" si="12"/>
        <v>0.60529006666666674</v>
      </c>
      <c r="CP22" s="25">
        <f t="shared" si="38"/>
        <v>90793510</v>
      </c>
      <c r="CQ22" s="25">
        <f t="shared" si="39"/>
        <v>0</v>
      </c>
      <c r="CR22" s="25">
        <f t="shared" si="39"/>
        <v>90793510</v>
      </c>
      <c r="CS22" s="25">
        <f t="shared" si="39"/>
        <v>0</v>
      </c>
      <c r="CT22" s="25">
        <f t="shared" si="39"/>
        <v>0</v>
      </c>
      <c r="CU22" s="25">
        <f t="shared" si="39"/>
        <v>0</v>
      </c>
      <c r="CV22" s="25">
        <f t="shared" si="39"/>
        <v>0</v>
      </c>
      <c r="CW22" s="25">
        <f t="shared" si="40"/>
        <v>0</v>
      </c>
      <c r="CX22" s="25">
        <f t="shared" si="40"/>
        <v>0</v>
      </c>
      <c r="CY22" s="25">
        <f t="shared" si="40"/>
        <v>0</v>
      </c>
      <c r="CZ22" s="25">
        <f t="shared" si="41"/>
        <v>0</v>
      </c>
      <c r="DA22" s="25">
        <f t="shared" si="41"/>
        <v>0</v>
      </c>
      <c r="DB22" s="25">
        <f t="shared" si="41"/>
        <v>0</v>
      </c>
      <c r="DC22" s="25">
        <f t="shared" si="42"/>
        <v>0</v>
      </c>
      <c r="DD22" s="25">
        <f t="shared" si="42"/>
        <v>0</v>
      </c>
      <c r="DE22" s="25">
        <f t="shared" si="42"/>
        <v>0</v>
      </c>
      <c r="DF22" s="25"/>
      <c r="DG22" s="25">
        <f t="shared" si="43"/>
        <v>0</v>
      </c>
      <c r="DH22" s="25">
        <f t="shared" si="43"/>
        <v>0</v>
      </c>
      <c r="DI22" s="25">
        <f t="shared" si="43"/>
        <v>0</v>
      </c>
    </row>
    <row r="23" spans="1:115" ht="33.75" customHeight="1" x14ac:dyDescent="0.25">
      <c r="A23" s="31"/>
      <c r="B23" s="188"/>
      <c r="C23" s="21" t="s">
        <v>94</v>
      </c>
      <c r="D23" s="22" t="s">
        <v>95</v>
      </c>
      <c r="E23" s="23">
        <v>410</v>
      </c>
      <c r="F23" s="24" t="s">
        <v>91</v>
      </c>
      <c r="G23" s="25">
        <f t="shared" si="31"/>
        <v>600000000</v>
      </c>
      <c r="H23" s="25"/>
      <c r="I23" s="25">
        <f>200000000+400000000</f>
        <v>600000000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B23" s="27">
        <f t="shared" si="1"/>
        <v>1</v>
      </c>
      <c r="AC23" s="25">
        <f t="shared" si="32"/>
        <v>600000000</v>
      </c>
      <c r="AD23" s="25"/>
      <c r="AE23" s="25"/>
      <c r="AF23" s="25">
        <f>+'[1]AGOSTO 2016'!$M$993</f>
        <v>600000000</v>
      </c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7">
        <f t="shared" si="3"/>
        <v>0</v>
      </c>
      <c r="AY23" s="25">
        <f t="shared" si="33"/>
        <v>0</v>
      </c>
      <c r="AZ23" s="25">
        <f t="shared" si="34"/>
        <v>0</v>
      </c>
      <c r="BA23" s="25">
        <f t="shared" si="34"/>
        <v>0</v>
      </c>
      <c r="BB23" s="25">
        <f t="shared" si="34"/>
        <v>0</v>
      </c>
      <c r="BC23" s="25">
        <f t="shared" si="35"/>
        <v>0</v>
      </c>
      <c r="BD23" s="25">
        <f t="shared" si="35"/>
        <v>0</v>
      </c>
      <c r="BE23" s="25">
        <f t="shared" si="35"/>
        <v>0</v>
      </c>
      <c r="BF23" s="25">
        <f t="shared" si="35"/>
        <v>0</v>
      </c>
      <c r="BG23" s="25">
        <f t="shared" si="35"/>
        <v>0</v>
      </c>
      <c r="BH23" s="25">
        <f t="shared" si="35"/>
        <v>0</v>
      </c>
      <c r="BI23" s="25">
        <f t="shared" si="35"/>
        <v>0</v>
      </c>
      <c r="BJ23" s="25">
        <f t="shared" si="35"/>
        <v>0</v>
      </c>
      <c r="BK23" s="25">
        <f t="shared" si="35"/>
        <v>0</v>
      </c>
      <c r="BL23" s="25">
        <f t="shared" si="35"/>
        <v>0</v>
      </c>
      <c r="BM23" s="25">
        <f t="shared" si="35"/>
        <v>0</v>
      </c>
      <c r="BN23" s="25">
        <f t="shared" si="35"/>
        <v>0</v>
      </c>
      <c r="BO23" s="25"/>
      <c r="BP23" s="25"/>
      <c r="BQ23" s="25"/>
      <c r="BR23" s="25">
        <f t="shared" si="36"/>
        <v>0</v>
      </c>
      <c r="BS23" s="27">
        <f t="shared" si="10"/>
        <v>0.49147521999999999</v>
      </c>
      <c r="BT23" s="25">
        <f t="shared" si="37"/>
        <v>294885132</v>
      </c>
      <c r="BU23" s="25"/>
      <c r="BV23" s="25"/>
      <c r="BW23" s="25">
        <f>+'[1]AGOSTO 2016'!$H$991</f>
        <v>294885132</v>
      </c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7">
        <f t="shared" si="12"/>
        <v>0.50852478000000001</v>
      </c>
      <c r="CP23" s="25">
        <f t="shared" si="38"/>
        <v>305114868</v>
      </c>
      <c r="CQ23" s="25">
        <f t="shared" si="39"/>
        <v>0</v>
      </c>
      <c r="CR23" s="25">
        <f t="shared" si="39"/>
        <v>305114868</v>
      </c>
      <c r="CS23" s="25">
        <f t="shared" si="39"/>
        <v>0</v>
      </c>
      <c r="CT23" s="25">
        <f t="shared" si="39"/>
        <v>0</v>
      </c>
      <c r="CU23" s="25">
        <f t="shared" si="39"/>
        <v>0</v>
      </c>
      <c r="CV23" s="25">
        <f t="shared" si="39"/>
        <v>0</v>
      </c>
      <c r="CW23" s="25">
        <f t="shared" si="40"/>
        <v>0</v>
      </c>
      <c r="CX23" s="25">
        <f t="shared" si="40"/>
        <v>0</v>
      </c>
      <c r="CY23" s="25">
        <f t="shared" si="40"/>
        <v>0</v>
      </c>
      <c r="CZ23" s="25">
        <f t="shared" si="41"/>
        <v>0</v>
      </c>
      <c r="DA23" s="25">
        <f t="shared" si="41"/>
        <v>0</v>
      </c>
      <c r="DB23" s="25">
        <f t="shared" si="41"/>
        <v>0</v>
      </c>
      <c r="DC23" s="25">
        <f t="shared" si="42"/>
        <v>0</v>
      </c>
      <c r="DD23" s="25">
        <f t="shared" si="42"/>
        <v>0</v>
      </c>
      <c r="DE23" s="25">
        <f t="shared" si="42"/>
        <v>0</v>
      </c>
      <c r="DF23" s="25"/>
      <c r="DG23" s="25">
        <f t="shared" si="43"/>
        <v>0</v>
      </c>
      <c r="DH23" s="25">
        <f t="shared" si="43"/>
        <v>0</v>
      </c>
      <c r="DI23" s="25">
        <f t="shared" si="43"/>
        <v>0</v>
      </c>
    </row>
    <row r="24" spans="1:115" ht="36" customHeight="1" x14ac:dyDescent="0.25">
      <c r="A24" s="31"/>
      <c r="B24" s="186" t="s">
        <v>96</v>
      </c>
      <c r="C24" s="53" t="s">
        <v>97</v>
      </c>
      <c r="D24" s="22" t="s">
        <v>98</v>
      </c>
      <c r="E24" s="23">
        <v>410</v>
      </c>
      <c r="F24" s="24" t="s">
        <v>91</v>
      </c>
      <c r="G24" s="25">
        <f t="shared" si="31"/>
        <v>10000000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>
        <v>10000000</v>
      </c>
      <c r="V24" s="25"/>
      <c r="W24" s="25"/>
      <c r="X24" s="25"/>
      <c r="Y24" s="25"/>
      <c r="Z24" s="25"/>
      <c r="AB24" s="27">
        <f t="shared" si="1"/>
        <v>7.0000000000000007E-2</v>
      </c>
      <c r="AC24" s="25">
        <f t="shared" si="32"/>
        <v>700000</v>
      </c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>
        <f>+'[6]JULIO 2016'!$Y$889</f>
        <v>700000</v>
      </c>
      <c r="AS24" s="25"/>
      <c r="AT24" s="25"/>
      <c r="AU24" s="25"/>
      <c r="AV24" s="25"/>
      <c r="AW24" s="25"/>
      <c r="AX24" s="27">
        <f t="shared" si="3"/>
        <v>0.92999999999999994</v>
      </c>
      <c r="AY24" s="25">
        <f t="shared" si="33"/>
        <v>9300000</v>
      </c>
      <c r="AZ24" s="25">
        <f t="shared" si="34"/>
        <v>0</v>
      </c>
      <c r="BA24" s="25">
        <f t="shared" si="34"/>
        <v>0</v>
      </c>
      <c r="BB24" s="25">
        <f t="shared" si="34"/>
        <v>0</v>
      </c>
      <c r="BC24" s="25">
        <f t="shared" si="35"/>
        <v>0</v>
      </c>
      <c r="BD24" s="25">
        <f t="shared" si="35"/>
        <v>0</v>
      </c>
      <c r="BE24" s="25">
        <f t="shared" si="35"/>
        <v>0</v>
      </c>
      <c r="BF24" s="25">
        <f t="shared" si="35"/>
        <v>0</v>
      </c>
      <c r="BG24" s="25">
        <f t="shared" si="35"/>
        <v>0</v>
      </c>
      <c r="BH24" s="25">
        <f t="shared" si="35"/>
        <v>0</v>
      </c>
      <c r="BI24" s="25">
        <f t="shared" si="35"/>
        <v>0</v>
      </c>
      <c r="BJ24" s="25">
        <f t="shared" si="35"/>
        <v>0</v>
      </c>
      <c r="BK24" s="25">
        <f t="shared" si="35"/>
        <v>0</v>
      </c>
      <c r="BL24" s="25">
        <f t="shared" si="35"/>
        <v>0</v>
      </c>
      <c r="BM24" s="25">
        <f t="shared" si="35"/>
        <v>9300000</v>
      </c>
      <c r="BN24" s="25">
        <f t="shared" si="35"/>
        <v>0</v>
      </c>
      <c r="BO24" s="25"/>
      <c r="BP24" s="25"/>
      <c r="BQ24" s="25"/>
      <c r="BR24" s="25">
        <f t="shared" si="36"/>
        <v>0</v>
      </c>
      <c r="BS24" s="27">
        <f t="shared" si="10"/>
        <v>7.0000000000000007E-2</v>
      </c>
      <c r="BT24" s="25">
        <f t="shared" si="37"/>
        <v>700000</v>
      </c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>
        <f>+'[6]JULIO 2016'!$H$887</f>
        <v>700000</v>
      </c>
      <c r="CJ24" s="25"/>
      <c r="CK24" s="25"/>
      <c r="CL24" s="25"/>
      <c r="CM24" s="25"/>
      <c r="CN24" s="25"/>
      <c r="CO24" s="27">
        <f t="shared" si="12"/>
        <v>0.92999999999999994</v>
      </c>
      <c r="CP24" s="25">
        <f t="shared" si="38"/>
        <v>9300000</v>
      </c>
      <c r="CQ24" s="25">
        <f t="shared" si="39"/>
        <v>0</v>
      </c>
      <c r="CR24" s="25">
        <f t="shared" si="39"/>
        <v>0</v>
      </c>
      <c r="CS24" s="25">
        <f t="shared" si="39"/>
        <v>0</v>
      </c>
      <c r="CT24" s="25">
        <f t="shared" si="39"/>
        <v>0</v>
      </c>
      <c r="CU24" s="25">
        <f t="shared" si="39"/>
        <v>0</v>
      </c>
      <c r="CV24" s="25">
        <f t="shared" si="39"/>
        <v>0</v>
      </c>
      <c r="CW24" s="25">
        <f t="shared" si="40"/>
        <v>0</v>
      </c>
      <c r="CX24" s="25">
        <f t="shared" si="40"/>
        <v>0</v>
      </c>
      <c r="CY24" s="25">
        <f t="shared" si="40"/>
        <v>0</v>
      </c>
      <c r="CZ24" s="25">
        <f t="shared" si="41"/>
        <v>0</v>
      </c>
      <c r="DA24" s="25">
        <f t="shared" si="41"/>
        <v>0</v>
      </c>
      <c r="DB24" s="25">
        <f t="shared" si="41"/>
        <v>0</v>
      </c>
      <c r="DC24" s="25">
        <f t="shared" si="42"/>
        <v>0</v>
      </c>
      <c r="DD24" s="25">
        <f t="shared" si="42"/>
        <v>9300000</v>
      </c>
      <c r="DE24" s="25">
        <f t="shared" si="42"/>
        <v>0</v>
      </c>
      <c r="DF24" s="25"/>
      <c r="DG24" s="25">
        <f t="shared" si="43"/>
        <v>0</v>
      </c>
      <c r="DH24" s="25">
        <f t="shared" si="43"/>
        <v>0</v>
      </c>
      <c r="DI24" s="25">
        <f t="shared" si="43"/>
        <v>0</v>
      </c>
    </row>
    <row r="25" spans="1:115" ht="33" customHeight="1" x14ac:dyDescent="0.25">
      <c r="A25" s="31"/>
      <c r="B25" s="187"/>
      <c r="C25" s="21" t="s">
        <v>99</v>
      </c>
      <c r="D25" s="22" t="s">
        <v>100</v>
      </c>
      <c r="E25" s="23">
        <v>410</v>
      </c>
      <c r="F25" s="24" t="s">
        <v>101</v>
      </c>
      <c r="G25" s="25">
        <f>SUM(H25:Z25)</f>
        <v>10000000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>
        <v>10000000</v>
      </c>
      <c r="V25" s="25"/>
      <c r="W25" s="25"/>
      <c r="X25" s="25"/>
      <c r="Y25" s="25"/>
      <c r="Z25" s="25"/>
      <c r="AB25" s="27">
        <f t="shared" si="1"/>
        <v>1</v>
      </c>
      <c r="AC25" s="25">
        <f t="shared" si="32"/>
        <v>10000000</v>
      </c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>
        <f>+'[3]ABRIL 2016'!$Y$572</f>
        <v>10000000</v>
      </c>
      <c r="AS25" s="25"/>
      <c r="AT25" s="25"/>
      <c r="AU25" s="25"/>
      <c r="AV25" s="25"/>
      <c r="AW25" s="25"/>
      <c r="AX25" s="27">
        <f t="shared" si="3"/>
        <v>0</v>
      </c>
      <c r="AY25" s="25">
        <f t="shared" si="33"/>
        <v>0</v>
      </c>
      <c r="AZ25" s="25">
        <f t="shared" si="34"/>
        <v>0</v>
      </c>
      <c r="BA25" s="25">
        <f t="shared" si="34"/>
        <v>0</v>
      </c>
      <c r="BB25" s="25">
        <f t="shared" si="34"/>
        <v>0</v>
      </c>
      <c r="BC25" s="25">
        <f t="shared" si="35"/>
        <v>0</v>
      </c>
      <c r="BD25" s="25">
        <f t="shared" si="35"/>
        <v>0</v>
      </c>
      <c r="BE25" s="25">
        <f t="shared" si="35"/>
        <v>0</v>
      </c>
      <c r="BF25" s="25">
        <f t="shared" si="35"/>
        <v>0</v>
      </c>
      <c r="BG25" s="25">
        <f t="shared" si="35"/>
        <v>0</v>
      </c>
      <c r="BH25" s="25">
        <f t="shared" si="35"/>
        <v>0</v>
      </c>
      <c r="BI25" s="25">
        <f t="shared" si="35"/>
        <v>0</v>
      </c>
      <c r="BJ25" s="25">
        <f t="shared" si="35"/>
        <v>0</v>
      </c>
      <c r="BK25" s="25">
        <f t="shared" si="35"/>
        <v>0</v>
      </c>
      <c r="BL25" s="25">
        <f t="shared" si="35"/>
        <v>0</v>
      </c>
      <c r="BM25" s="25">
        <f t="shared" si="35"/>
        <v>0</v>
      </c>
      <c r="BN25" s="25">
        <f t="shared" si="35"/>
        <v>0</v>
      </c>
      <c r="BO25" s="25"/>
      <c r="BP25" s="25"/>
      <c r="BQ25" s="25"/>
      <c r="BR25" s="25">
        <f t="shared" si="36"/>
        <v>0</v>
      </c>
      <c r="BS25" s="27">
        <f t="shared" si="10"/>
        <v>1</v>
      </c>
      <c r="BT25" s="25">
        <f t="shared" si="37"/>
        <v>10000000</v>
      </c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>
        <f>+'[3]ABRIL 2016'!$Y$572</f>
        <v>10000000</v>
      </c>
      <c r="CJ25" s="25"/>
      <c r="CK25" s="25"/>
      <c r="CL25" s="25"/>
      <c r="CM25" s="25"/>
      <c r="CN25" s="25"/>
      <c r="CO25" s="27">
        <f t="shared" si="12"/>
        <v>0</v>
      </c>
      <c r="CP25" s="25">
        <f t="shared" si="38"/>
        <v>0</v>
      </c>
      <c r="CQ25" s="25">
        <f t="shared" si="39"/>
        <v>0</v>
      </c>
      <c r="CR25" s="25">
        <f t="shared" si="39"/>
        <v>0</v>
      </c>
      <c r="CS25" s="25">
        <f t="shared" si="39"/>
        <v>0</v>
      </c>
      <c r="CT25" s="25">
        <f t="shared" si="39"/>
        <v>0</v>
      </c>
      <c r="CU25" s="25">
        <f t="shared" si="39"/>
        <v>0</v>
      </c>
      <c r="CV25" s="25">
        <f t="shared" si="39"/>
        <v>0</v>
      </c>
      <c r="CW25" s="25">
        <f t="shared" si="40"/>
        <v>0</v>
      </c>
      <c r="CX25" s="25">
        <f t="shared" si="40"/>
        <v>0</v>
      </c>
      <c r="CY25" s="25">
        <f t="shared" si="40"/>
        <v>0</v>
      </c>
      <c r="CZ25" s="25">
        <f t="shared" si="41"/>
        <v>0</v>
      </c>
      <c r="DA25" s="25">
        <f t="shared" si="41"/>
        <v>0</v>
      </c>
      <c r="DB25" s="25">
        <f t="shared" si="41"/>
        <v>0</v>
      </c>
      <c r="DC25" s="25">
        <f t="shared" si="42"/>
        <v>0</v>
      </c>
      <c r="DD25" s="25">
        <f t="shared" si="42"/>
        <v>0</v>
      </c>
      <c r="DE25" s="25">
        <f t="shared" si="42"/>
        <v>0</v>
      </c>
      <c r="DF25" s="25"/>
      <c r="DG25" s="25">
        <f t="shared" si="43"/>
        <v>0</v>
      </c>
      <c r="DH25" s="25">
        <f t="shared" si="43"/>
        <v>0</v>
      </c>
      <c r="DI25" s="25">
        <f t="shared" si="43"/>
        <v>0</v>
      </c>
    </row>
    <row r="26" spans="1:115" ht="36.75" customHeight="1" x14ac:dyDescent="0.25">
      <c r="A26" s="31"/>
      <c r="B26" s="187"/>
      <c r="C26" s="21" t="s">
        <v>102</v>
      </c>
      <c r="D26" s="22" t="s">
        <v>103</v>
      </c>
      <c r="E26" s="23">
        <v>410</v>
      </c>
      <c r="F26" s="24" t="s">
        <v>101</v>
      </c>
      <c r="G26" s="25">
        <f t="shared" si="31"/>
        <v>0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>
        <f>20000000-20000000</f>
        <v>0</v>
      </c>
      <c r="V26" s="25"/>
      <c r="W26" s="25"/>
      <c r="X26" s="25"/>
      <c r="Y26" s="25"/>
      <c r="Z26" s="25"/>
      <c r="AB26" s="27" t="e">
        <f t="shared" si="1"/>
        <v>#DIV/0!</v>
      </c>
      <c r="AC26" s="25">
        <f t="shared" si="32"/>
        <v>0</v>
      </c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7" t="e">
        <f t="shared" si="3"/>
        <v>#DIV/0!</v>
      </c>
      <c r="AY26" s="25">
        <f t="shared" si="33"/>
        <v>0</v>
      </c>
      <c r="AZ26" s="25">
        <f t="shared" si="34"/>
        <v>0</v>
      </c>
      <c r="BA26" s="25">
        <f t="shared" si="34"/>
        <v>0</v>
      </c>
      <c r="BB26" s="25">
        <f t="shared" si="34"/>
        <v>0</v>
      </c>
      <c r="BC26" s="25">
        <f t="shared" si="35"/>
        <v>0</v>
      </c>
      <c r="BD26" s="25">
        <f t="shared" si="35"/>
        <v>0</v>
      </c>
      <c r="BE26" s="25">
        <f t="shared" si="35"/>
        <v>0</v>
      </c>
      <c r="BF26" s="25">
        <f t="shared" si="35"/>
        <v>0</v>
      </c>
      <c r="BG26" s="25">
        <f t="shared" si="35"/>
        <v>0</v>
      </c>
      <c r="BH26" s="25">
        <f t="shared" si="35"/>
        <v>0</v>
      </c>
      <c r="BI26" s="25">
        <f t="shared" si="35"/>
        <v>0</v>
      </c>
      <c r="BJ26" s="25">
        <f t="shared" si="35"/>
        <v>0</v>
      </c>
      <c r="BK26" s="25">
        <f t="shared" si="35"/>
        <v>0</v>
      </c>
      <c r="BL26" s="25">
        <f t="shared" si="35"/>
        <v>0</v>
      </c>
      <c r="BM26" s="25">
        <f t="shared" si="35"/>
        <v>0</v>
      </c>
      <c r="BN26" s="25">
        <f t="shared" si="35"/>
        <v>0</v>
      </c>
      <c r="BO26" s="25"/>
      <c r="BP26" s="25"/>
      <c r="BQ26" s="25"/>
      <c r="BR26" s="25">
        <f t="shared" si="36"/>
        <v>0</v>
      </c>
      <c r="BS26" s="27" t="e">
        <f t="shared" si="10"/>
        <v>#DIV/0!</v>
      </c>
      <c r="BT26" s="25">
        <f t="shared" si="37"/>
        <v>0</v>
      </c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7" t="e">
        <f t="shared" si="12"/>
        <v>#DIV/0!</v>
      </c>
      <c r="CP26" s="25">
        <f t="shared" si="38"/>
        <v>0</v>
      </c>
      <c r="CQ26" s="25">
        <f t="shared" si="39"/>
        <v>0</v>
      </c>
      <c r="CR26" s="25">
        <f t="shared" si="39"/>
        <v>0</v>
      </c>
      <c r="CS26" s="25">
        <f t="shared" si="39"/>
        <v>0</v>
      </c>
      <c r="CT26" s="25">
        <f t="shared" si="39"/>
        <v>0</v>
      </c>
      <c r="CU26" s="25">
        <f t="shared" si="39"/>
        <v>0</v>
      </c>
      <c r="CV26" s="25">
        <f t="shared" si="39"/>
        <v>0</v>
      </c>
      <c r="CW26" s="25">
        <f t="shared" si="40"/>
        <v>0</v>
      </c>
      <c r="CX26" s="25">
        <f t="shared" si="40"/>
        <v>0</v>
      </c>
      <c r="CY26" s="25">
        <f t="shared" si="40"/>
        <v>0</v>
      </c>
      <c r="CZ26" s="25">
        <f t="shared" si="41"/>
        <v>0</v>
      </c>
      <c r="DA26" s="25">
        <f t="shared" si="41"/>
        <v>0</v>
      </c>
      <c r="DB26" s="25">
        <f t="shared" si="41"/>
        <v>0</v>
      </c>
      <c r="DC26" s="25">
        <f t="shared" si="42"/>
        <v>0</v>
      </c>
      <c r="DD26" s="25">
        <f t="shared" si="42"/>
        <v>0</v>
      </c>
      <c r="DE26" s="25">
        <f t="shared" si="42"/>
        <v>0</v>
      </c>
      <c r="DF26" s="25"/>
      <c r="DG26" s="25">
        <f t="shared" si="43"/>
        <v>0</v>
      </c>
      <c r="DH26" s="25">
        <f t="shared" si="43"/>
        <v>0</v>
      </c>
      <c r="DI26" s="25">
        <f t="shared" si="43"/>
        <v>0</v>
      </c>
    </row>
    <row r="27" spans="1:115" ht="36.75" customHeight="1" x14ac:dyDescent="0.25">
      <c r="A27" s="31"/>
      <c r="B27" s="187"/>
      <c r="C27" s="21" t="s">
        <v>104</v>
      </c>
      <c r="D27" s="22" t="s">
        <v>105</v>
      </c>
      <c r="E27" s="23">
        <v>410</v>
      </c>
      <c r="F27" s="24" t="s">
        <v>101</v>
      </c>
      <c r="G27" s="25">
        <f t="shared" si="31"/>
        <v>27000000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>
        <f>50000000-23000000</f>
        <v>27000000</v>
      </c>
      <c r="V27" s="25"/>
      <c r="W27" s="25"/>
      <c r="X27" s="25"/>
      <c r="Y27" s="25"/>
      <c r="Z27" s="25"/>
      <c r="AB27" s="27">
        <f t="shared" si="1"/>
        <v>1</v>
      </c>
      <c r="AC27" s="25">
        <f t="shared" si="32"/>
        <v>27000000</v>
      </c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>
        <f>+'[3]ABRIL 2016'!$Y$585</f>
        <v>27000000</v>
      </c>
      <c r="AS27" s="25"/>
      <c r="AT27" s="25"/>
      <c r="AU27" s="25"/>
      <c r="AV27" s="25"/>
      <c r="AW27" s="25"/>
      <c r="AX27" s="27">
        <f t="shared" si="3"/>
        <v>0</v>
      </c>
      <c r="AY27" s="25">
        <f t="shared" si="33"/>
        <v>0</v>
      </c>
      <c r="AZ27" s="25">
        <f t="shared" si="34"/>
        <v>0</v>
      </c>
      <c r="BA27" s="25">
        <f t="shared" si="34"/>
        <v>0</v>
      </c>
      <c r="BB27" s="25">
        <f t="shared" si="34"/>
        <v>0</v>
      </c>
      <c r="BC27" s="25">
        <f t="shared" si="35"/>
        <v>0</v>
      </c>
      <c r="BD27" s="25">
        <f t="shared" si="35"/>
        <v>0</v>
      </c>
      <c r="BE27" s="25">
        <f t="shared" si="35"/>
        <v>0</v>
      </c>
      <c r="BF27" s="25">
        <f t="shared" si="35"/>
        <v>0</v>
      </c>
      <c r="BG27" s="25">
        <f t="shared" si="35"/>
        <v>0</v>
      </c>
      <c r="BH27" s="25">
        <f t="shared" si="35"/>
        <v>0</v>
      </c>
      <c r="BI27" s="25">
        <f t="shared" si="35"/>
        <v>0</v>
      </c>
      <c r="BJ27" s="25">
        <f t="shared" si="35"/>
        <v>0</v>
      </c>
      <c r="BK27" s="25">
        <f t="shared" si="35"/>
        <v>0</v>
      </c>
      <c r="BL27" s="25">
        <f t="shared" si="35"/>
        <v>0</v>
      </c>
      <c r="BM27" s="25">
        <f t="shared" si="35"/>
        <v>0</v>
      </c>
      <c r="BN27" s="25">
        <f t="shared" si="35"/>
        <v>0</v>
      </c>
      <c r="BO27" s="25"/>
      <c r="BP27" s="25"/>
      <c r="BQ27" s="25"/>
      <c r="BR27" s="25">
        <f t="shared" si="36"/>
        <v>0</v>
      </c>
      <c r="BS27" s="27">
        <f t="shared" si="10"/>
        <v>0.65259259259259261</v>
      </c>
      <c r="BT27" s="25">
        <f t="shared" si="37"/>
        <v>17620000</v>
      </c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>
        <f>+'[1]AGOSTO 2016'!$H$1055</f>
        <v>17620000</v>
      </c>
      <c r="CJ27" s="25"/>
      <c r="CK27" s="25"/>
      <c r="CL27" s="25"/>
      <c r="CM27" s="25"/>
      <c r="CN27" s="25"/>
      <c r="CO27" s="27">
        <f t="shared" si="12"/>
        <v>0.34740740740740739</v>
      </c>
      <c r="CP27" s="25">
        <f t="shared" si="38"/>
        <v>9380000</v>
      </c>
      <c r="CQ27" s="25">
        <f t="shared" si="39"/>
        <v>0</v>
      </c>
      <c r="CR27" s="25">
        <f t="shared" si="39"/>
        <v>0</v>
      </c>
      <c r="CS27" s="25">
        <f t="shared" si="39"/>
        <v>0</v>
      </c>
      <c r="CT27" s="25">
        <f t="shared" si="39"/>
        <v>0</v>
      </c>
      <c r="CU27" s="25">
        <f t="shared" si="39"/>
        <v>0</v>
      </c>
      <c r="CV27" s="25">
        <f t="shared" si="39"/>
        <v>0</v>
      </c>
      <c r="CW27" s="25">
        <f t="shared" si="40"/>
        <v>0</v>
      </c>
      <c r="CX27" s="25">
        <f t="shared" si="40"/>
        <v>0</v>
      </c>
      <c r="CY27" s="25">
        <f t="shared" si="40"/>
        <v>0</v>
      </c>
      <c r="CZ27" s="25">
        <f t="shared" si="41"/>
        <v>0</v>
      </c>
      <c r="DA27" s="25">
        <f t="shared" si="41"/>
        <v>0</v>
      </c>
      <c r="DB27" s="25">
        <f t="shared" si="41"/>
        <v>0</v>
      </c>
      <c r="DC27" s="25">
        <f t="shared" si="42"/>
        <v>0</v>
      </c>
      <c r="DD27" s="25">
        <f t="shared" si="42"/>
        <v>9380000</v>
      </c>
      <c r="DE27" s="25">
        <f t="shared" si="42"/>
        <v>0</v>
      </c>
      <c r="DF27" s="25"/>
      <c r="DG27" s="25">
        <f t="shared" si="43"/>
        <v>0</v>
      </c>
      <c r="DH27" s="25">
        <f t="shared" si="43"/>
        <v>0</v>
      </c>
      <c r="DI27" s="25">
        <f t="shared" si="43"/>
        <v>0</v>
      </c>
    </row>
    <row r="28" spans="1:115" ht="37.5" customHeight="1" x14ac:dyDescent="0.25">
      <c r="A28" s="31"/>
      <c r="B28" s="187"/>
      <c r="C28" s="21" t="s">
        <v>106</v>
      </c>
      <c r="D28" s="22" t="s">
        <v>107</v>
      </c>
      <c r="E28" s="23">
        <v>410</v>
      </c>
      <c r="F28" s="24" t="s">
        <v>108</v>
      </c>
      <c r="G28" s="25">
        <f t="shared" si="31"/>
        <v>105000000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>
        <v>100000000</v>
      </c>
      <c r="V28" s="25"/>
      <c r="W28" s="25"/>
      <c r="X28" s="25"/>
      <c r="Y28" s="25"/>
      <c r="Z28" s="25">
        <v>5000000</v>
      </c>
      <c r="AB28" s="27">
        <f t="shared" si="1"/>
        <v>0.93856134285714288</v>
      </c>
      <c r="AC28" s="25">
        <f t="shared" si="32"/>
        <v>98548941</v>
      </c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>
        <f>+'[1]AGOSTO 2016'!$Y$1068</f>
        <v>97398441</v>
      </c>
      <c r="AS28" s="25"/>
      <c r="AT28" s="25"/>
      <c r="AU28" s="25"/>
      <c r="AV28" s="25"/>
      <c r="AW28" s="25">
        <v>1150500</v>
      </c>
      <c r="AX28" s="27">
        <f t="shared" si="3"/>
        <v>6.1438657142857123E-2</v>
      </c>
      <c r="AY28" s="25">
        <f t="shared" si="33"/>
        <v>6451059</v>
      </c>
      <c r="AZ28" s="25">
        <f t="shared" si="34"/>
        <v>0</v>
      </c>
      <c r="BA28" s="25">
        <f t="shared" si="34"/>
        <v>0</v>
      </c>
      <c r="BB28" s="25">
        <f t="shared" si="34"/>
        <v>0</v>
      </c>
      <c r="BC28" s="25">
        <f t="shared" si="35"/>
        <v>0</v>
      </c>
      <c r="BD28" s="25">
        <f t="shared" si="35"/>
        <v>0</v>
      </c>
      <c r="BE28" s="25">
        <f t="shared" si="35"/>
        <v>0</v>
      </c>
      <c r="BF28" s="25">
        <f t="shared" si="35"/>
        <v>0</v>
      </c>
      <c r="BG28" s="25">
        <f t="shared" si="35"/>
        <v>0</v>
      </c>
      <c r="BH28" s="25">
        <f t="shared" si="35"/>
        <v>0</v>
      </c>
      <c r="BI28" s="25">
        <f t="shared" si="35"/>
        <v>0</v>
      </c>
      <c r="BJ28" s="25">
        <f t="shared" si="35"/>
        <v>0</v>
      </c>
      <c r="BK28" s="25">
        <f t="shared" si="35"/>
        <v>0</v>
      </c>
      <c r="BL28" s="25">
        <f t="shared" si="35"/>
        <v>0</v>
      </c>
      <c r="BM28" s="25">
        <f t="shared" si="35"/>
        <v>2601559</v>
      </c>
      <c r="BN28" s="25">
        <f t="shared" si="35"/>
        <v>0</v>
      </c>
      <c r="BO28" s="25"/>
      <c r="BP28" s="25"/>
      <c r="BQ28" s="25"/>
      <c r="BR28" s="25">
        <f t="shared" si="36"/>
        <v>3849500</v>
      </c>
      <c r="BS28" s="27">
        <f t="shared" si="10"/>
        <v>0.93856134285714288</v>
      </c>
      <c r="BT28" s="25">
        <f t="shared" si="37"/>
        <v>98548941</v>
      </c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>
        <f>+'[1]AGOSTO 2016'!$Y$1068</f>
        <v>97398441</v>
      </c>
      <c r="CJ28" s="25"/>
      <c r="CK28" s="25"/>
      <c r="CL28" s="25"/>
      <c r="CM28" s="25"/>
      <c r="CN28" s="25">
        <v>1150500</v>
      </c>
      <c r="CO28" s="27">
        <f t="shared" si="12"/>
        <v>6.1438657142857123E-2</v>
      </c>
      <c r="CP28" s="25">
        <f t="shared" si="38"/>
        <v>6451059</v>
      </c>
      <c r="CQ28" s="25">
        <f t="shared" si="39"/>
        <v>0</v>
      </c>
      <c r="CR28" s="25">
        <f t="shared" si="39"/>
        <v>0</v>
      </c>
      <c r="CS28" s="25">
        <f t="shared" si="39"/>
        <v>0</v>
      </c>
      <c r="CT28" s="25">
        <f t="shared" si="39"/>
        <v>0</v>
      </c>
      <c r="CU28" s="25">
        <f t="shared" si="39"/>
        <v>0</v>
      </c>
      <c r="CV28" s="25">
        <f t="shared" si="39"/>
        <v>0</v>
      </c>
      <c r="CW28" s="25">
        <f t="shared" si="40"/>
        <v>0</v>
      </c>
      <c r="CX28" s="25">
        <f t="shared" si="40"/>
        <v>0</v>
      </c>
      <c r="CY28" s="25">
        <f t="shared" si="40"/>
        <v>0</v>
      </c>
      <c r="CZ28" s="25">
        <f t="shared" si="41"/>
        <v>0</v>
      </c>
      <c r="DA28" s="25">
        <f t="shared" si="41"/>
        <v>0</v>
      </c>
      <c r="DB28" s="25">
        <f t="shared" si="41"/>
        <v>0</v>
      </c>
      <c r="DC28" s="25">
        <f t="shared" si="42"/>
        <v>0</v>
      </c>
      <c r="DD28" s="25">
        <f t="shared" si="42"/>
        <v>2601559</v>
      </c>
      <c r="DE28" s="25">
        <f t="shared" si="42"/>
        <v>0</v>
      </c>
      <c r="DF28" s="25"/>
      <c r="DG28" s="25">
        <f t="shared" si="43"/>
        <v>0</v>
      </c>
      <c r="DH28" s="25">
        <f t="shared" si="43"/>
        <v>0</v>
      </c>
      <c r="DI28" s="25">
        <f t="shared" si="43"/>
        <v>3849500</v>
      </c>
    </row>
    <row r="29" spans="1:115" ht="33.75" customHeight="1" x14ac:dyDescent="0.25">
      <c r="A29" s="31"/>
      <c r="B29" s="187"/>
      <c r="C29" s="21" t="s">
        <v>109</v>
      </c>
      <c r="D29" s="22" t="s">
        <v>110</v>
      </c>
      <c r="E29" s="23">
        <v>410</v>
      </c>
      <c r="F29" s="24" t="s">
        <v>101</v>
      </c>
      <c r="G29" s="25">
        <f t="shared" si="31"/>
        <v>100000000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100000000</v>
      </c>
      <c r="V29" s="25"/>
      <c r="W29" s="25"/>
      <c r="X29" s="25"/>
      <c r="Y29" s="25"/>
      <c r="Z29" s="25"/>
      <c r="AB29" s="27">
        <f t="shared" si="1"/>
        <v>0.78948779000000002</v>
      </c>
      <c r="AC29" s="25">
        <f t="shared" si="32"/>
        <v>78948779</v>
      </c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>
        <f>+'[6]JULIO 2016'!$Y$960</f>
        <v>78948779</v>
      </c>
      <c r="AS29" s="25"/>
      <c r="AT29" s="25"/>
      <c r="AU29" s="25"/>
      <c r="AV29" s="25"/>
      <c r="AW29" s="25"/>
      <c r="AX29" s="27">
        <f t="shared" si="3"/>
        <v>0.21051220999999998</v>
      </c>
      <c r="AY29" s="25">
        <f t="shared" si="33"/>
        <v>21051221</v>
      </c>
      <c r="AZ29" s="25">
        <f t="shared" si="34"/>
        <v>0</v>
      </c>
      <c r="BA29" s="25">
        <f t="shared" si="34"/>
        <v>0</v>
      </c>
      <c r="BB29" s="25">
        <f t="shared" si="34"/>
        <v>0</v>
      </c>
      <c r="BC29" s="25">
        <f t="shared" si="35"/>
        <v>0</v>
      </c>
      <c r="BD29" s="25">
        <f t="shared" si="35"/>
        <v>0</v>
      </c>
      <c r="BE29" s="25">
        <f t="shared" si="35"/>
        <v>0</v>
      </c>
      <c r="BF29" s="25">
        <f t="shared" si="35"/>
        <v>0</v>
      </c>
      <c r="BG29" s="25">
        <f t="shared" si="35"/>
        <v>0</v>
      </c>
      <c r="BH29" s="25">
        <f t="shared" si="35"/>
        <v>0</v>
      </c>
      <c r="BI29" s="25">
        <f t="shared" si="35"/>
        <v>0</v>
      </c>
      <c r="BJ29" s="25">
        <f t="shared" si="35"/>
        <v>0</v>
      </c>
      <c r="BK29" s="25">
        <f t="shared" si="35"/>
        <v>0</v>
      </c>
      <c r="BL29" s="25">
        <f t="shared" si="35"/>
        <v>0</v>
      </c>
      <c r="BM29" s="25">
        <f t="shared" si="35"/>
        <v>21051221</v>
      </c>
      <c r="BN29" s="25">
        <f t="shared" si="35"/>
        <v>0</v>
      </c>
      <c r="BO29" s="25"/>
      <c r="BP29" s="25"/>
      <c r="BQ29" s="25"/>
      <c r="BR29" s="25">
        <f t="shared" si="36"/>
        <v>0</v>
      </c>
      <c r="BS29" s="27">
        <f t="shared" si="10"/>
        <v>0.78948779000000002</v>
      </c>
      <c r="BT29" s="25">
        <f t="shared" si="37"/>
        <v>78948779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>
        <f>+'[6]JULIO 2016'!$H$958</f>
        <v>78948779</v>
      </c>
      <c r="CJ29" s="25"/>
      <c r="CK29" s="25"/>
      <c r="CL29" s="25"/>
      <c r="CM29" s="25"/>
      <c r="CN29" s="25"/>
      <c r="CO29" s="27">
        <f t="shared" si="12"/>
        <v>0.21051220999999998</v>
      </c>
      <c r="CP29" s="25">
        <f t="shared" si="38"/>
        <v>21051221</v>
      </c>
      <c r="CQ29" s="25">
        <f t="shared" si="39"/>
        <v>0</v>
      </c>
      <c r="CR29" s="25">
        <f t="shared" si="39"/>
        <v>0</v>
      </c>
      <c r="CS29" s="25">
        <f t="shared" si="39"/>
        <v>0</v>
      </c>
      <c r="CT29" s="25">
        <f t="shared" si="39"/>
        <v>0</v>
      </c>
      <c r="CU29" s="25">
        <f t="shared" si="39"/>
        <v>0</v>
      </c>
      <c r="CV29" s="25">
        <f t="shared" si="39"/>
        <v>0</v>
      </c>
      <c r="CW29" s="25">
        <f t="shared" si="40"/>
        <v>0</v>
      </c>
      <c r="CX29" s="25">
        <f t="shared" si="40"/>
        <v>0</v>
      </c>
      <c r="CY29" s="25">
        <f t="shared" si="40"/>
        <v>0</v>
      </c>
      <c r="CZ29" s="25">
        <f t="shared" si="41"/>
        <v>0</v>
      </c>
      <c r="DA29" s="25">
        <f t="shared" si="41"/>
        <v>0</v>
      </c>
      <c r="DB29" s="25">
        <f t="shared" si="41"/>
        <v>0</v>
      </c>
      <c r="DC29" s="25">
        <f t="shared" si="42"/>
        <v>0</v>
      </c>
      <c r="DD29" s="25">
        <f t="shared" si="42"/>
        <v>21051221</v>
      </c>
      <c r="DE29" s="25">
        <f t="shared" si="42"/>
        <v>0</v>
      </c>
      <c r="DF29" s="25"/>
      <c r="DG29" s="25">
        <f t="shared" si="43"/>
        <v>0</v>
      </c>
      <c r="DH29" s="25">
        <f t="shared" si="43"/>
        <v>0</v>
      </c>
      <c r="DI29" s="25">
        <f t="shared" si="43"/>
        <v>0</v>
      </c>
    </row>
    <row r="30" spans="1:115" ht="22.5" customHeight="1" x14ac:dyDescent="0.25">
      <c r="A30" s="31"/>
      <c r="B30" s="187"/>
      <c r="C30" s="21" t="s">
        <v>111</v>
      </c>
      <c r="D30" s="22" t="s">
        <v>112</v>
      </c>
      <c r="E30" s="23">
        <v>410</v>
      </c>
      <c r="F30" s="24" t="s">
        <v>76</v>
      </c>
      <c r="G30" s="25">
        <f t="shared" si="31"/>
        <v>12000000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>
        <f>6000000+2000000+4000000</f>
        <v>12000000</v>
      </c>
      <c r="AB30" s="27">
        <f t="shared" si="1"/>
        <v>0.99999983333333331</v>
      </c>
      <c r="AC30" s="25">
        <f t="shared" si="32"/>
        <v>11999998</v>
      </c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>
        <f>+'[1]AGOSTO 2016'!$AG$1142</f>
        <v>11999998</v>
      </c>
      <c r="AX30" s="27">
        <f t="shared" si="3"/>
        <v>1.6666666668996299E-7</v>
      </c>
      <c r="AY30" s="25">
        <f t="shared" si="33"/>
        <v>2</v>
      </c>
      <c r="AZ30" s="25">
        <f t="shared" si="34"/>
        <v>0</v>
      </c>
      <c r="BA30" s="25">
        <f t="shared" si="34"/>
        <v>0</v>
      </c>
      <c r="BB30" s="25">
        <f t="shared" si="34"/>
        <v>0</v>
      </c>
      <c r="BC30" s="25">
        <f t="shared" si="35"/>
        <v>0</v>
      </c>
      <c r="BD30" s="25">
        <f t="shared" si="35"/>
        <v>0</v>
      </c>
      <c r="BE30" s="25">
        <f t="shared" si="35"/>
        <v>0</v>
      </c>
      <c r="BF30" s="25">
        <f t="shared" si="35"/>
        <v>0</v>
      </c>
      <c r="BG30" s="25">
        <f t="shared" si="35"/>
        <v>0</v>
      </c>
      <c r="BH30" s="25">
        <f t="shared" si="35"/>
        <v>0</v>
      </c>
      <c r="BI30" s="25">
        <f t="shared" si="35"/>
        <v>0</v>
      </c>
      <c r="BJ30" s="25">
        <f t="shared" si="35"/>
        <v>0</v>
      </c>
      <c r="BK30" s="25">
        <f t="shared" si="35"/>
        <v>0</v>
      </c>
      <c r="BL30" s="25"/>
      <c r="BM30" s="25">
        <f t="shared" si="35"/>
        <v>0</v>
      </c>
      <c r="BN30" s="25">
        <f t="shared" si="35"/>
        <v>0</v>
      </c>
      <c r="BO30" s="25"/>
      <c r="BP30" s="25"/>
      <c r="BQ30" s="25"/>
      <c r="BR30" s="25">
        <f t="shared" si="36"/>
        <v>2</v>
      </c>
      <c r="BS30" s="27">
        <f t="shared" si="10"/>
        <v>0.48977333333333334</v>
      </c>
      <c r="BT30" s="25">
        <f t="shared" si="37"/>
        <v>5877280</v>
      </c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>
        <f>+'[6]JULIO 2016'!$H$984</f>
        <v>5877280</v>
      </c>
      <c r="CO30" s="27">
        <f t="shared" si="12"/>
        <v>0.51022666666666661</v>
      </c>
      <c r="CP30" s="25">
        <f t="shared" si="38"/>
        <v>6122720</v>
      </c>
      <c r="CQ30" s="25">
        <f t="shared" si="39"/>
        <v>0</v>
      </c>
      <c r="CR30" s="25">
        <f t="shared" si="39"/>
        <v>0</v>
      </c>
      <c r="CS30" s="25">
        <f t="shared" si="39"/>
        <v>0</v>
      </c>
      <c r="CT30" s="25">
        <f t="shared" si="39"/>
        <v>0</v>
      </c>
      <c r="CU30" s="25">
        <f t="shared" si="39"/>
        <v>0</v>
      </c>
      <c r="CV30" s="25">
        <f t="shared" si="39"/>
        <v>0</v>
      </c>
      <c r="CW30" s="25">
        <f t="shared" si="40"/>
        <v>0</v>
      </c>
      <c r="CX30" s="25">
        <f t="shared" si="40"/>
        <v>0</v>
      </c>
      <c r="CY30" s="25">
        <f t="shared" si="40"/>
        <v>0</v>
      </c>
      <c r="CZ30" s="25">
        <f t="shared" si="41"/>
        <v>0</v>
      </c>
      <c r="DA30" s="25">
        <f t="shared" si="41"/>
        <v>0</v>
      </c>
      <c r="DB30" s="25">
        <f t="shared" si="41"/>
        <v>0</v>
      </c>
      <c r="DC30" s="25">
        <f t="shared" si="41"/>
        <v>0</v>
      </c>
      <c r="DD30" s="25">
        <f t="shared" si="41"/>
        <v>0</v>
      </c>
      <c r="DE30" s="25">
        <f t="shared" si="41"/>
        <v>0</v>
      </c>
      <c r="DF30" s="25"/>
      <c r="DG30" s="25">
        <f t="shared" ref="DG30:DI45" si="44">X30-CL30</f>
        <v>0</v>
      </c>
      <c r="DH30" s="25">
        <f t="shared" si="44"/>
        <v>0</v>
      </c>
      <c r="DI30" s="25">
        <f t="shared" si="44"/>
        <v>6122720</v>
      </c>
    </row>
    <row r="31" spans="1:115" ht="47.25" customHeight="1" x14ac:dyDescent="0.25">
      <c r="A31" s="31"/>
      <c r="B31" s="187"/>
      <c r="C31" s="21" t="s">
        <v>113</v>
      </c>
      <c r="D31" s="22" t="s">
        <v>114</v>
      </c>
      <c r="E31" s="23">
        <v>410</v>
      </c>
      <c r="F31" s="24" t="s">
        <v>115</v>
      </c>
      <c r="G31" s="25">
        <f t="shared" si="31"/>
        <v>10000000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>
        <f>5000000+5000000</f>
        <v>10000000</v>
      </c>
      <c r="AB31" s="27">
        <f t="shared" si="1"/>
        <v>0.16064239999999999</v>
      </c>
      <c r="AC31" s="25">
        <f t="shared" si="32"/>
        <v>1606424</v>
      </c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>
        <f>+'[3]ABRIL 2016'!$G$646</f>
        <v>1606424</v>
      </c>
      <c r="AX31" s="27">
        <f t="shared" si="3"/>
        <v>0.83935760000000004</v>
      </c>
      <c r="AY31" s="25">
        <f t="shared" si="33"/>
        <v>8393576</v>
      </c>
      <c r="AZ31" s="25">
        <f t="shared" si="34"/>
        <v>0</v>
      </c>
      <c r="BA31" s="25">
        <f t="shared" si="34"/>
        <v>0</v>
      </c>
      <c r="BB31" s="25">
        <f t="shared" si="34"/>
        <v>0</v>
      </c>
      <c r="BC31" s="25">
        <f t="shared" si="35"/>
        <v>0</v>
      </c>
      <c r="BD31" s="25">
        <f t="shared" si="35"/>
        <v>0</v>
      </c>
      <c r="BE31" s="25">
        <f t="shared" si="35"/>
        <v>0</v>
      </c>
      <c r="BF31" s="25">
        <f t="shared" si="35"/>
        <v>0</v>
      </c>
      <c r="BG31" s="25">
        <f t="shared" si="35"/>
        <v>0</v>
      </c>
      <c r="BH31" s="25">
        <f t="shared" si="35"/>
        <v>0</v>
      </c>
      <c r="BI31" s="25">
        <f t="shared" si="35"/>
        <v>0</v>
      </c>
      <c r="BJ31" s="25">
        <f t="shared" si="35"/>
        <v>0</v>
      </c>
      <c r="BK31" s="25">
        <f t="shared" si="35"/>
        <v>0</v>
      </c>
      <c r="BL31" s="25"/>
      <c r="BM31" s="25">
        <f t="shared" si="35"/>
        <v>0</v>
      </c>
      <c r="BN31" s="25">
        <f t="shared" si="35"/>
        <v>0</v>
      </c>
      <c r="BO31" s="25"/>
      <c r="BP31" s="25"/>
      <c r="BQ31" s="25"/>
      <c r="BR31" s="25">
        <f t="shared" si="36"/>
        <v>8393576</v>
      </c>
      <c r="BS31" s="27">
        <f t="shared" si="10"/>
        <v>0.16064239999999999</v>
      </c>
      <c r="BT31" s="25">
        <f t="shared" si="37"/>
        <v>1606424</v>
      </c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>
        <f>+'[3]ABRIL 2016'!$H$646</f>
        <v>1606424</v>
      </c>
      <c r="CO31" s="27">
        <f t="shared" si="12"/>
        <v>0.83935760000000004</v>
      </c>
      <c r="CP31" s="25">
        <f t="shared" si="38"/>
        <v>8393576</v>
      </c>
      <c r="CQ31" s="25">
        <f t="shared" si="39"/>
        <v>0</v>
      </c>
      <c r="CR31" s="25">
        <f t="shared" si="39"/>
        <v>0</v>
      </c>
      <c r="CS31" s="25">
        <f t="shared" si="39"/>
        <v>0</v>
      </c>
      <c r="CT31" s="25">
        <f t="shared" si="39"/>
        <v>0</v>
      </c>
      <c r="CU31" s="25">
        <f t="shared" si="39"/>
        <v>0</v>
      </c>
      <c r="CV31" s="25">
        <f t="shared" si="39"/>
        <v>0</v>
      </c>
      <c r="CW31" s="25">
        <f t="shared" si="40"/>
        <v>0</v>
      </c>
      <c r="CX31" s="25">
        <f t="shared" si="40"/>
        <v>0</v>
      </c>
      <c r="CY31" s="25">
        <f t="shared" si="40"/>
        <v>0</v>
      </c>
      <c r="CZ31" s="25">
        <f t="shared" si="41"/>
        <v>0</v>
      </c>
      <c r="DA31" s="25">
        <f t="shared" si="41"/>
        <v>0</v>
      </c>
      <c r="DB31" s="25">
        <f t="shared" si="41"/>
        <v>0</v>
      </c>
      <c r="DC31" s="25">
        <f t="shared" si="41"/>
        <v>0</v>
      </c>
      <c r="DD31" s="25">
        <f t="shared" si="41"/>
        <v>0</v>
      </c>
      <c r="DE31" s="25">
        <f t="shared" si="41"/>
        <v>0</v>
      </c>
      <c r="DF31" s="25"/>
      <c r="DG31" s="25">
        <f t="shared" si="44"/>
        <v>0</v>
      </c>
      <c r="DH31" s="25">
        <f t="shared" si="44"/>
        <v>0</v>
      </c>
      <c r="DI31" s="25">
        <f t="shared" si="44"/>
        <v>8393576</v>
      </c>
    </row>
    <row r="32" spans="1:115" ht="30" x14ac:dyDescent="0.25">
      <c r="A32" s="31"/>
      <c r="B32" s="188"/>
      <c r="C32" s="21" t="s">
        <v>116</v>
      </c>
      <c r="D32" s="22" t="s">
        <v>117</v>
      </c>
      <c r="E32" s="23">
        <v>410</v>
      </c>
      <c r="F32" s="24" t="s">
        <v>118</v>
      </c>
      <c r="G32" s="25">
        <f t="shared" si="31"/>
        <v>161295383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>
        <v>110000000</v>
      </c>
      <c r="V32" s="25"/>
      <c r="W32" s="25">
        <f>11169156+40126227</f>
        <v>51295383</v>
      </c>
      <c r="X32" s="25"/>
      <c r="Y32" s="25"/>
      <c r="Z32" s="25"/>
      <c r="AB32" s="27">
        <f t="shared" si="1"/>
        <v>1</v>
      </c>
      <c r="AC32" s="25">
        <f t="shared" si="32"/>
        <v>161295383</v>
      </c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>
        <f>+'[4]ENERO 2016'!$Y$308</f>
        <v>110000000</v>
      </c>
      <c r="AS32" s="25"/>
      <c r="AT32" s="25">
        <f>+'[1]AGOSTO 2016'!$AA$1161</f>
        <v>51295383</v>
      </c>
      <c r="AU32" s="25"/>
      <c r="AV32" s="25"/>
      <c r="AW32" s="25"/>
      <c r="AX32" s="27">
        <f t="shared" si="3"/>
        <v>0</v>
      </c>
      <c r="AY32" s="25">
        <f t="shared" si="33"/>
        <v>0</v>
      </c>
      <c r="AZ32" s="25">
        <f t="shared" si="34"/>
        <v>0</v>
      </c>
      <c r="BA32" s="25">
        <f t="shared" si="34"/>
        <v>0</v>
      </c>
      <c r="BB32" s="25">
        <f t="shared" si="34"/>
        <v>0</v>
      </c>
      <c r="BC32" s="25">
        <f t="shared" si="35"/>
        <v>0</v>
      </c>
      <c r="BD32" s="25">
        <f t="shared" si="35"/>
        <v>0</v>
      </c>
      <c r="BE32" s="25">
        <f t="shared" si="35"/>
        <v>0</v>
      </c>
      <c r="BF32" s="25">
        <f t="shared" si="35"/>
        <v>0</v>
      </c>
      <c r="BG32" s="25">
        <f t="shared" si="35"/>
        <v>0</v>
      </c>
      <c r="BH32" s="25">
        <f t="shared" si="35"/>
        <v>0</v>
      </c>
      <c r="BI32" s="25">
        <f t="shared" si="35"/>
        <v>0</v>
      </c>
      <c r="BJ32" s="25">
        <f t="shared" si="35"/>
        <v>0</v>
      </c>
      <c r="BK32" s="25">
        <f t="shared" si="35"/>
        <v>0</v>
      </c>
      <c r="BL32" s="25"/>
      <c r="BM32" s="25">
        <f t="shared" si="35"/>
        <v>0</v>
      </c>
      <c r="BN32" s="25">
        <f t="shared" si="35"/>
        <v>0</v>
      </c>
      <c r="BO32" s="25">
        <f>+W32-AT32</f>
        <v>0</v>
      </c>
      <c r="BP32" s="25"/>
      <c r="BQ32" s="25"/>
      <c r="BR32" s="25">
        <f t="shared" si="36"/>
        <v>0</v>
      </c>
      <c r="BS32" s="27">
        <f t="shared" si="10"/>
        <v>0.59942486388466554</v>
      </c>
      <c r="BT32" s="25">
        <f t="shared" si="37"/>
        <v>96684463</v>
      </c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>
        <f>+'[1]AGOSTO 2016'!$H$1162+'[1]AGOSTO 2016'!$H$1177+'[1]AGOSTO 2016'!$H$1191</f>
        <v>96684463</v>
      </c>
      <c r="CJ32" s="25"/>
      <c r="CK32" s="25"/>
      <c r="CL32" s="25"/>
      <c r="CM32" s="25"/>
      <c r="CN32" s="25"/>
      <c r="CO32" s="27">
        <f t="shared" si="12"/>
        <v>0.40057513611533446</v>
      </c>
      <c r="CP32" s="25">
        <f t="shared" si="38"/>
        <v>64610920</v>
      </c>
      <c r="CQ32" s="25">
        <f t="shared" si="39"/>
        <v>0</v>
      </c>
      <c r="CR32" s="25">
        <f t="shared" si="39"/>
        <v>0</v>
      </c>
      <c r="CS32" s="25">
        <f t="shared" si="39"/>
        <v>0</v>
      </c>
      <c r="CT32" s="25">
        <f t="shared" si="39"/>
        <v>0</v>
      </c>
      <c r="CU32" s="25">
        <f t="shared" si="39"/>
        <v>0</v>
      </c>
      <c r="CV32" s="25">
        <f t="shared" si="39"/>
        <v>0</v>
      </c>
      <c r="CW32" s="25">
        <f t="shared" si="40"/>
        <v>0</v>
      </c>
      <c r="CX32" s="25">
        <f t="shared" si="40"/>
        <v>0</v>
      </c>
      <c r="CY32" s="25">
        <f t="shared" si="40"/>
        <v>0</v>
      </c>
      <c r="CZ32" s="25">
        <f t="shared" si="41"/>
        <v>0</v>
      </c>
      <c r="DA32" s="25">
        <f t="shared" si="41"/>
        <v>0</v>
      </c>
      <c r="DB32" s="25">
        <f t="shared" si="41"/>
        <v>0</v>
      </c>
      <c r="DC32" s="25">
        <f t="shared" si="41"/>
        <v>0</v>
      </c>
      <c r="DD32" s="25">
        <f t="shared" si="41"/>
        <v>13315537</v>
      </c>
      <c r="DE32" s="25">
        <f t="shared" si="41"/>
        <v>0</v>
      </c>
      <c r="DF32" s="25">
        <f>W32-CK32</f>
        <v>51295383</v>
      </c>
      <c r="DG32" s="25">
        <f t="shared" si="44"/>
        <v>0</v>
      </c>
      <c r="DH32" s="25">
        <f t="shared" si="44"/>
        <v>0</v>
      </c>
      <c r="DI32" s="25">
        <f t="shared" si="44"/>
        <v>0</v>
      </c>
      <c r="DK32" s="54"/>
    </row>
    <row r="33" spans="1:113" ht="34.5" customHeight="1" x14ac:dyDescent="0.25">
      <c r="A33" s="193" t="s">
        <v>87</v>
      </c>
      <c r="B33" s="186" t="s">
        <v>119</v>
      </c>
      <c r="C33" s="21" t="s">
        <v>120</v>
      </c>
      <c r="D33" s="22" t="s">
        <v>121</v>
      </c>
      <c r="E33" s="154">
        <v>410</v>
      </c>
      <c r="F33" s="24" t="s">
        <v>91</v>
      </c>
      <c r="G33" s="25">
        <f t="shared" si="31"/>
        <v>55000000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>
        <v>55000000</v>
      </c>
      <c r="V33" s="25"/>
      <c r="W33" s="25"/>
      <c r="X33" s="25"/>
      <c r="Y33" s="25"/>
      <c r="Z33" s="25"/>
      <c r="AB33" s="27">
        <f t="shared" si="1"/>
        <v>0.45671361818181816</v>
      </c>
      <c r="AC33" s="25">
        <f t="shared" si="32"/>
        <v>25119249</v>
      </c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>
        <f>+'[1]AGOSTO 2016'!$Y$1199</f>
        <v>25119249</v>
      </c>
      <c r="AS33" s="25"/>
      <c r="AT33" s="25"/>
      <c r="AU33" s="25"/>
      <c r="AV33" s="25"/>
      <c r="AW33" s="25"/>
      <c r="AX33" s="27">
        <f t="shared" si="3"/>
        <v>0.5432863818181819</v>
      </c>
      <c r="AY33" s="25">
        <f t="shared" si="33"/>
        <v>29880751</v>
      </c>
      <c r="AZ33" s="25">
        <f t="shared" si="34"/>
        <v>0</v>
      </c>
      <c r="BA33" s="25">
        <f t="shared" si="34"/>
        <v>0</v>
      </c>
      <c r="BB33" s="25">
        <f t="shared" si="34"/>
        <v>0</v>
      </c>
      <c r="BC33" s="25">
        <f t="shared" si="35"/>
        <v>0</v>
      </c>
      <c r="BD33" s="25">
        <f t="shared" si="35"/>
        <v>0</v>
      </c>
      <c r="BE33" s="25">
        <f t="shared" si="35"/>
        <v>0</v>
      </c>
      <c r="BF33" s="25">
        <f t="shared" si="35"/>
        <v>0</v>
      </c>
      <c r="BG33" s="25">
        <f t="shared" si="35"/>
        <v>0</v>
      </c>
      <c r="BH33" s="25">
        <f t="shared" si="35"/>
        <v>0</v>
      </c>
      <c r="BI33" s="25">
        <f t="shared" si="35"/>
        <v>0</v>
      </c>
      <c r="BJ33" s="25">
        <f t="shared" si="35"/>
        <v>0</v>
      </c>
      <c r="BK33" s="25">
        <f t="shared" si="35"/>
        <v>0</v>
      </c>
      <c r="BL33" s="25">
        <f>+T33-AQ33</f>
        <v>0</v>
      </c>
      <c r="BM33" s="25">
        <f t="shared" si="35"/>
        <v>29880751</v>
      </c>
      <c r="BN33" s="25">
        <f t="shared" si="35"/>
        <v>0</v>
      </c>
      <c r="BO33" s="25"/>
      <c r="BP33" s="25"/>
      <c r="BQ33" s="25"/>
      <c r="BR33" s="25">
        <f t="shared" si="36"/>
        <v>0</v>
      </c>
      <c r="BS33" s="27">
        <f t="shared" si="10"/>
        <v>0.4251843818181818</v>
      </c>
      <c r="BT33" s="25">
        <f t="shared" si="37"/>
        <v>23385141</v>
      </c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>
        <f>+'[1]AGOSTO 2016'!$H$1197</f>
        <v>23385141</v>
      </c>
      <c r="CJ33" s="25"/>
      <c r="CK33" s="25"/>
      <c r="CL33" s="25"/>
      <c r="CM33" s="25"/>
      <c r="CN33" s="25"/>
      <c r="CO33" s="27">
        <f t="shared" si="12"/>
        <v>0.57481561818181826</v>
      </c>
      <c r="CP33" s="25">
        <f t="shared" si="38"/>
        <v>31614859</v>
      </c>
      <c r="CQ33" s="25">
        <f t="shared" si="39"/>
        <v>0</v>
      </c>
      <c r="CR33" s="25">
        <f t="shared" si="39"/>
        <v>0</v>
      </c>
      <c r="CS33" s="25">
        <f t="shared" si="39"/>
        <v>0</v>
      </c>
      <c r="CT33" s="25">
        <f t="shared" si="39"/>
        <v>0</v>
      </c>
      <c r="CU33" s="25">
        <f t="shared" si="39"/>
        <v>0</v>
      </c>
      <c r="CV33" s="25">
        <f t="shared" si="39"/>
        <v>0</v>
      </c>
      <c r="CW33" s="25">
        <f t="shared" si="40"/>
        <v>0</v>
      </c>
      <c r="CX33" s="25">
        <f t="shared" si="40"/>
        <v>0</v>
      </c>
      <c r="CY33" s="25">
        <f t="shared" si="40"/>
        <v>0</v>
      </c>
      <c r="CZ33" s="25">
        <f t="shared" si="41"/>
        <v>0</v>
      </c>
      <c r="DA33" s="25">
        <f t="shared" si="41"/>
        <v>0</v>
      </c>
      <c r="DB33" s="25">
        <f t="shared" si="41"/>
        <v>0</v>
      </c>
      <c r="DC33" s="25">
        <f t="shared" ref="DC33:DE35" si="45">+T33-CH33</f>
        <v>0</v>
      </c>
      <c r="DD33" s="25">
        <f t="shared" si="45"/>
        <v>31614859</v>
      </c>
      <c r="DE33" s="25">
        <f t="shared" si="45"/>
        <v>0</v>
      </c>
      <c r="DF33" s="25"/>
      <c r="DG33" s="25">
        <f>+X33-CL33</f>
        <v>0</v>
      </c>
      <c r="DH33" s="25">
        <f t="shared" si="44"/>
        <v>0</v>
      </c>
      <c r="DI33" s="25">
        <f>+Z33-CN33</f>
        <v>0</v>
      </c>
    </row>
    <row r="34" spans="1:113" ht="36.75" customHeight="1" x14ac:dyDescent="0.25">
      <c r="A34" s="193"/>
      <c r="B34" s="187"/>
      <c r="C34" s="21" t="s">
        <v>122</v>
      </c>
      <c r="D34" s="22" t="s">
        <v>123</v>
      </c>
      <c r="E34" s="23">
        <v>410</v>
      </c>
      <c r="F34" s="24" t="s">
        <v>124</v>
      </c>
      <c r="G34" s="25">
        <f t="shared" si="31"/>
        <v>53000000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>
        <v>50000000</v>
      </c>
      <c r="V34" s="25"/>
      <c r="W34" s="25"/>
      <c r="X34" s="25"/>
      <c r="Y34" s="25"/>
      <c r="Z34" s="25">
        <v>3000000</v>
      </c>
      <c r="AB34" s="27">
        <f t="shared" si="1"/>
        <v>0.32296618867924526</v>
      </c>
      <c r="AC34" s="25">
        <f t="shared" si="32"/>
        <v>17117208</v>
      </c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>
        <f>+'[1]AGOSTO 2016'!$Y$1231</f>
        <v>16217208</v>
      </c>
      <c r="AS34" s="25"/>
      <c r="AT34" s="25"/>
      <c r="AU34" s="25"/>
      <c r="AV34" s="25"/>
      <c r="AW34" s="25">
        <f>+'[1]AGOSTO 2016'!$AG$1231</f>
        <v>900000</v>
      </c>
      <c r="AX34" s="27">
        <f t="shared" si="3"/>
        <v>0.6770338113207548</v>
      </c>
      <c r="AY34" s="25">
        <f t="shared" si="33"/>
        <v>35882792</v>
      </c>
      <c r="AZ34" s="25">
        <f t="shared" si="34"/>
        <v>0</v>
      </c>
      <c r="BA34" s="25">
        <f t="shared" si="34"/>
        <v>0</v>
      </c>
      <c r="BB34" s="25">
        <f t="shared" si="34"/>
        <v>0</v>
      </c>
      <c r="BC34" s="25">
        <f t="shared" si="35"/>
        <v>0</v>
      </c>
      <c r="BD34" s="25">
        <f t="shared" si="35"/>
        <v>0</v>
      </c>
      <c r="BE34" s="25">
        <f t="shared" si="35"/>
        <v>0</v>
      </c>
      <c r="BF34" s="25">
        <f t="shared" si="35"/>
        <v>0</v>
      </c>
      <c r="BG34" s="25">
        <f t="shared" si="35"/>
        <v>0</v>
      </c>
      <c r="BH34" s="25">
        <f t="shared" si="35"/>
        <v>0</v>
      </c>
      <c r="BI34" s="25">
        <f t="shared" si="35"/>
        <v>0</v>
      </c>
      <c r="BJ34" s="25">
        <f t="shared" si="35"/>
        <v>0</v>
      </c>
      <c r="BK34" s="25">
        <f t="shared" si="35"/>
        <v>0</v>
      </c>
      <c r="BL34" s="25">
        <f>+T34-AQ34</f>
        <v>0</v>
      </c>
      <c r="BM34" s="25">
        <f t="shared" si="35"/>
        <v>33782792</v>
      </c>
      <c r="BN34" s="25">
        <f t="shared" si="35"/>
        <v>0</v>
      </c>
      <c r="BO34" s="25"/>
      <c r="BP34" s="25"/>
      <c r="BQ34" s="25"/>
      <c r="BR34" s="25">
        <f t="shared" si="36"/>
        <v>2100000</v>
      </c>
      <c r="BS34" s="27">
        <f t="shared" si="10"/>
        <v>0.27767788679245281</v>
      </c>
      <c r="BT34" s="25">
        <f t="shared" si="37"/>
        <v>14716928</v>
      </c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>
        <f>+'[1]AGOSTO 2016'!$H$1229</f>
        <v>14716928</v>
      </c>
      <c r="CJ34" s="25"/>
      <c r="CK34" s="25"/>
      <c r="CL34" s="25"/>
      <c r="CM34" s="25"/>
      <c r="CN34" s="25"/>
      <c r="CO34" s="27">
        <f t="shared" si="12"/>
        <v>0.72232211320754725</v>
      </c>
      <c r="CP34" s="25">
        <f t="shared" si="38"/>
        <v>38283072</v>
      </c>
      <c r="CQ34" s="25">
        <f t="shared" si="39"/>
        <v>0</v>
      </c>
      <c r="CR34" s="25">
        <f t="shared" si="39"/>
        <v>0</v>
      </c>
      <c r="CS34" s="25">
        <f t="shared" si="39"/>
        <v>0</v>
      </c>
      <c r="CT34" s="25">
        <f t="shared" si="39"/>
        <v>0</v>
      </c>
      <c r="CU34" s="25">
        <f t="shared" si="39"/>
        <v>0</v>
      </c>
      <c r="CV34" s="25">
        <f t="shared" si="39"/>
        <v>0</v>
      </c>
      <c r="CW34" s="25">
        <f t="shared" si="40"/>
        <v>0</v>
      </c>
      <c r="CX34" s="25">
        <f t="shared" si="40"/>
        <v>0</v>
      </c>
      <c r="CY34" s="25">
        <f t="shared" si="40"/>
        <v>0</v>
      </c>
      <c r="CZ34" s="25">
        <f t="shared" si="41"/>
        <v>0</v>
      </c>
      <c r="DA34" s="25">
        <f t="shared" si="41"/>
        <v>0</v>
      </c>
      <c r="DB34" s="25">
        <f t="shared" si="41"/>
        <v>0</v>
      </c>
      <c r="DC34" s="25">
        <f t="shared" si="45"/>
        <v>0</v>
      </c>
      <c r="DD34" s="25">
        <f t="shared" si="45"/>
        <v>35283072</v>
      </c>
      <c r="DE34" s="25">
        <f t="shared" si="45"/>
        <v>0</v>
      </c>
      <c r="DF34" s="25"/>
      <c r="DG34" s="25">
        <f>+X34-CL34</f>
        <v>0</v>
      </c>
      <c r="DH34" s="25">
        <f t="shared" si="44"/>
        <v>0</v>
      </c>
      <c r="DI34" s="25">
        <f>+Z34-CN34</f>
        <v>3000000</v>
      </c>
    </row>
    <row r="35" spans="1:113" ht="24" customHeight="1" x14ac:dyDescent="0.25">
      <c r="A35" s="193"/>
      <c r="B35" s="187"/>
      <c r="C35" s="21" t="s">
        <v>125</v>
      </c>
      <c r="D35" s="22" t="s">
        <v>126</v>
      </c>
      <c r="E35" s="23">
        <v>410</v>
      </c>
      <c r="F35" s="24" t="s">
        <v>91</v>
      </c>
      <c r="G35" s="25">
        <f t="shared" si="31"/>
        <v>34794000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>
        <f>40000000-5206000</f>
        <v>34794000</v>
      </c>
      <c r="V35" s="25"/>
      <c r="W35" s="25"/>
      <c r="X35" s="25"/>
      <c r="Y35" s="25"/>
      <c r="Z35" s="25"/>
      <c r="AB35" s="27">
        <f t="shared" si="1"/>
        <v>1</v>
      </c>
      <c r="AC35" s="25">
        <f t="shared" si="32"/>
        <v>34794000</v>
      </c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>
        <f>+'[1]AGOSTO 2016'!$Y$1264</f>
        <v>34794000</v>
      </c>
      <c r="AS35" s="25"/>
      <c r="AT35" s="25"/>
      <c r="AU35" s="25"/>
      <c r="AV35" s="25"/>
      <c r="AW35" s="25"/>
      <c r="AX35" s="27">
        <f t="shared" si="3"/>
        <v>0</v>
      </c>
      <c r="AY35" s="25">
        <f t="shared" si="33"/>
        <v>0</v>
      </c>
      <c r="AZ35" s="25">
        <f t="shared" si="34"/>
        <v>0</v>
      </c>
      <c r="BA35" s="25">
        <f t="shared" si="34"/>
        <v>0</v>
      </c>
      <c r="BB35" s="25">
        <f t="shared" si="34"/>
        <v>0</v>
      </c>
      <c r="BC35" s="25">
        <f t="shared" si="35"/>
        <v>0</v>
      </c>
      <c r="BD35" s="25">
        <f t="shared" si="35"/>
        <v>0</v>
      </c>
      <c r="BE35" s="25">
        <f t="shared" si="35"/>
        <v>0</v>
      </c>
      <c r="BF35" s="25">
        <f t="shared" si="35"/>
        <v>0</v>
      </c>
      <c r="BG35" s="25">
        <f t="shared" si="35"/>
        <v>0</v>
      </c>
      <c r="BH35" s="25">
        <f t="shared" si="35"/>
        <v>0</v>
      </c>
      <c r="BI35" s="25">
        <f t="shared" si="35"/>
        <v>0</v>
      </c>
      <c r="BJ35" s="25">
        <f t="shared" si="35"/>
        <v>0</v>
      </c>
      <c r="BK35" s="25">
        <f t="shared" si="35"/>
        <v>0</v>
      </c>
      <c r="BL35" s="25">
        <f>+T35-AQ35</f>
        <v>0</v>
      </c>
      <c r="BM35" s="25">
        <f t="shared" si="35"/>
        <v>0</v>
      </c>
      <c r="BN35" s="25">
        <f t="shared" si="35"/>
        <v>0</v>
      </c>
      <c r="BO35" s="25"/>
      <c r="BP35" s="25"/>
      <c r="BQ35" s="25"/>
      <c r="BR35" s="25">
        <f t="shared" si="36"/>
        <v>0</v>
      </c>
      <c r="BS35" s="27">
        <f t="shared" si="10"/>
        <v>0.8322222222222222</v>
      </c>
      <c r="BT35" s="25">
        <f t="shared" si="37"/>
        <v>28956340</v>
      </c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>
        <f>+'[2]MARZO 2016 ULTIMO'!$H$552</f>
        <v>28956340</v>
      </c>
      <c r="CJ35" s="25"/>
      <c r="CK35" s="25"/>
      <c r="CL35" s="25"/>
      <c r="CM35" s="25"/>
      <c r="CN35" s="25"/>
      <c r="CO35" s="27">
        <f t="shared" si="12"/>
        <v>0.1677777777777778</v>
      </c>
      <c r="CP35" s="25">
        <f t="shared" si="38"/>
        <v>5837660</v>
      </c>
      <c r="CQ35" s="25">
        <f t="shared" si="39"/>
        <v>0</v>
      </c>
      <c r="CR35" s="25">
        <f t="shared" si="39"/>
        <v>0</v>
      </c>
      <c r="CS35" s="25">
        <f t="shared" si="39"/>
        <v>0</v>
      </c>
      <c r="CT35" s="25">
        <f t="shared" si="39"/>
        <v>0</v>
      </c>
      <c r="CU35" s="25">
        <f t="shared" si="39"/>
        <v>0</v>
      </c>
      <c r="CV35" s="25">
        <f t="shared" si="39"/>
        <v>0</v>
      </c>
      <c r="CW35" s="25">
        <f t="shared" si="40"/>
        <v>0</v>
      </c>
      <c r="CX35" s="25">
        <f t="shared" si="40"/>
        <v>0</v>
      </c>
      <c r="CY35" s="25">
        <f t="shared" si="40"/>
        <v>0</v>
      </c>
      <c r="CZ35" s="25">
        <f t="shared" si="41"/>
        <v>0</v>
      </c>
      <c r="DA35" s="25">
        <f t="shared" si="41"/>
        <v>0</v>
      </c>
      <c r="DB35" s="25">
        <f t="shared" si="41"/>
        <v>0</v>
      </c>
      <c r="DC35" s="25">
        <f t="shared" si="45"/>
        <v>0</v>
      </c>
      <c r="DD35" s="25">
        <f t="shared" si="45"/>
        <v>5837660</v>
      </c>
      <c r="DE35" s="25">
        <f t="shared" si="45"/>
        <v>0</v>
      </c>
      <c r="DF35" s="25"/>
      <c r="DG35" s="25">
        <f>+X35-CL35</f>
        <v>0</v>
      </c>
      <c r="DH35" s="25">
        <f t="shared" si="44"/>
        <v>0</v>
      </c>
      <c r="DI35" s="25">
        <f>+Z35-CN35</f>
        <v>0</v>
      </c>
    </row>
    <row r="36" spans="1:113" ht="24.75" customHeight="1" x14ac:dyDescent="0.25">
      <c r="A36" s="193"/>
      <c r="B36" s="188"/>
      <c r="C36" s="21" t="s">
        <v>127</v>
      </c>
      <c r="D36" s="22" t="s">
        <v>128</v>
      </c>
      <c r="E36" s="23">
        <v>410</v>
      </c>
      <c r="F36" s="24" t="s">
        <v>91</v>
      </c>
      <c r="G36" s="25">
        <f t="shared" si="31"/>
        <v>105000000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>
        <v>105000000</v>
      </c>
      <c r="V36" s="25"/>
      <c r="W36" s="25"/>
      <c r="X36" s="25"/>
      <c r="Y36" s="25"/>
      <c r="Z36" s="25"/>
      <c r="AB36" s="27">
        <f t="shared" si="1"/>
        <v>1</v>
      </c>
      <c r="AC36" s="25">
        <f t="shared" si="32"/>
        <v>105000000</v>
      </c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>
        <f>+'[7]JUNIO 2016'!$Y$953</f>
        <v>105000000</v>
      </c>
      <c r="AS36" s="25"/>
      <c r="AT36" s="25"/>
      <c r="AU36" s="25"/>
      <c r="AV36" s="25"/>
      <c r="AW36" s="25"/>
      <c r="AX36" s="27">
        <f t="shared" si="3"/>
        <v>0</v>
      </c>
      <c r="AY36" s="25">
        <f t="shared" si="33"/>
        <v>0</v>
      </c>
      <c r="AZ36" s="25">
        <f t="shared" si="34"/>
        <v>0</v>
      </c>
      <c r="BA36" s="25">
        <f t="shared" si="34"/>
        <v>0</v>
      </c>
      <c r="BB36" s="25">
        <f t="shared" si="34"/>
        <v>0</v>
      </c>
      <c r="BC36" s="25">
        <f t="shared" si="34"/>
        <v>0</v>
      </c>
      <c r="BD36" s="25">
        <f t="shared" si="34"/>
        <v>0</v>
      </c>
      <c r="BE36" s="25">
        <f t="shared" si="34"/>
        <v>0</v>
      </c>
      <c r="BF36" s="25">
        <f t="shared" si="34"/>
        <v>0</v>
      </c>
      <c r="BG36" s="25">
        <f t="shared" si="34"/>
        <v>0</v>
      </c>
      <c r="BH36" s="25">
        <f t="shared" si="34"/>
        <v>0</v>
      </c>
      <c r="BI36" s="25">
        <f t="shared" si="34"/>
        <v>0</v>
      </c>
      <c r="BJ36" s="25">
        <f t="shared" si="34"/>
        <v>0</v>
      </c>
      <c r="BK36" s="25">
        <f t="shared" si="34"/>
        <v>0</v>
      </c>
      <c r="BL36" s="25">
        <f t="shared" si="34"/>
        <v>0</v>
      </c>
      <c r="BM36" s="25">
        <f t="shared" si="34"/>
        <v>0</v>
      </c>
      <c r="BN36" s="25">
        <f t="shared" si="34"/>
        <v>0</v>
      </c>
      <c r="BO36" s="25"/>
      <c r="BP36" s="25">
        <f>X36-AU36</f>
        <v>0</v>
      </c>
      <c r="BQ36" s="25">
        <f>Y36-AV36</f>
        <v>0</v>
      </c>
      <c r="BR36" s="25">
        <f>Z36-AW36</f>
        <v>0</v>
      </c>
      <c r="BS36" s="27">
        <f t="shared" si="10"/>
        <v>1</v>
      </c>
      <c r="BT36" s="25">
        <f t="shared" si="37"/>
        <v>105000000</v>
      </c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>
        <f>+'[7]JUNIO 2016'!$H$951</f>
        <v>105000000</v>
      </c>
      <c r="CJ36" s="25"/>
      <c r="CK36" s="25"/>
      <c r="CL36" s="25"/>
      <c r="CM36" s="25"/>
      <c r="CN36" s="25"/>
      <c r="CO36" s="27">
        <f t="shared" si="12"/>
        <v>0</v>
      </c>
      <c r="CP36" s="25">
        <f t="shared" si="38"/>
        <v>0</v>
      </c>
      <c r="CQ36" s="25">
        <f t="shared" si="39"/>
        <v>0</v>
      </c>
      <c r="CR36" s="25">
        <f t="shared" si="39"/>
        <v>0</v>
      </c>
      <c r="CS36" s="25">
        <f t="shared" si="39"/>
        <v>0</v>
      </c>
      <c r="CT36" s="25">
        <f t="shared" si="39"/>
        <v>0</v>
      </c>
      <c r="CU36" s="25">
        <f t="shared" si="39"/>
        <v>0</v>
      </c>
      <c r="CV36" s="25">
        <f t="shared" si="39"/>
        <v>0</v>
      </c>
      <c r="CW36" s="25">
        <f>N36-CB36</f>
        <v>0</v>
      </c>
      <c r="CX36" s="25">
        <f>O36-CC36</f>
        <v>0</v>
      </c>
      <c r="CY36" s="25">
        <f>P36-CD36</f>
        <v>0</v>
      </c>
      <c r="CZ36" s="25">
        <f t="shared" si="41"/>
        <v>0</v>
      </c>
      <c r="DA36" s="25">
        <f t="shared" si="41"/>
        <v>0</v>
      </c>
      <c r="DB36" s="25">
        <f t="shared" si="41"/>
        <v>0</v>
      </c>
      <c r="DC36" s="25">
        <f>T36-CH36</f>
        <v>0</v>
      </c>
      <c r="DD36" s="25">
        <f>U36-CI36</f>
        <v>0</v>
      </c>
      <c r="DE36" s="25">
        <f>V36-CJ36</f>
        <v>0</v>
      </c>
      <c r="DF36" s="25"/>
      <c r="DG36" s="25">
        <f>X36-CL36</f>
        <v>0</v>
      </c>
      <c r="DH36" s="25">
        <f t="shared" si="44"/>
        <v>0</v>
      </c>
      <c r="DI36" s="25">
        <f>Z36-CN36</f>
        <v>0</v>
      </c>
    </row>
    <row r="37" spans="1:113" ht="33.75" customHeight="1" x14ac:dyDescent="0.25">
      <c r="A37" s="193"/>
      <c r="B37" s="186" t="s">
        <v>129</v>
      </c>
      <c r="C37" s="21" t="s">
        <v>130</v>
      </c>
      <c r="D37" s="22" t="s">
        <v>131</v>
      </c>
      <c r="E37" s="23">
        <v>410</v>
      </c>
      <c r="F37" s="24" t="s">
        <v>91</v>
      </c>
      <c r="G37" s="25">
        <f t="shared" si="31"/>
        <v>280000000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>
        <v>280000000</v>
      </c>
      <c r="T37" s="25"/>
      <c r="U37" s="25"/>
      <c r="V37" s="25"/>
      <c r="W37" s="25"/>
      <c r="X37" s="25"/>
      <c r="Y37" s="25"/>
      <c r="Z37" s="25"/>
      <c r="AB37" s="27">
        <f t="shared" si="1"/>
        <v>0.70340974642857146</v>
      </c>
      <c r="AC37" s="25">
        <f t="shared" si="32"/>
        <v>196954729</v>
      </c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>
        <f>+'[1]AGOSTO 2016'!$W$1300</f>
        <v>196954729</v>
      </c>
      <c r="AQ37" s="25"/>
      <c r="AR37" s="25"/>
      <c r="AS37" s="25"/>
      <c r="AT37" s="25"/>
      <c r="AU37" s="25"/>
      <c r="AV37" s="25"/>
      <c r="AW37" s="25"/>
      <c r="AX37" s="27">
        <f t="shared" si="3"/>
        <v>0.29659025357142854</v>
      </c>
      <c r="AY37" s="25">
        <f t="shared" si="33"/>
        <v>83045271</v>
      </c>
      <c r="AZ37" s="25">
        <f t="shared" si="34"/>
        <v>0</v>
      </c>
      <c r="BA37" s="25">
        <f t="shared" si="34"/>
        <v>0</v>
      </c>
      <c r="BB37" s="25">
        <f t="shared" si="34"/>
        <v>0</v>
      </c>
      <c r="BC37" s="25">
        <f t="shared" ref="BC37:BN52" si="46">+K37-AH37</f>
        <v>0</v>
      </c>
      <c r="BD37" s="25">
        <f t="shared" si="46"/>
        <v>0</v>
      </c>
      <c r="BE37" s="25">
        <f t="shared" si="46"/>
        <v>0</v>
      </c>
      <c r="BF37" s="25">
        <f t="shared" si="46"/>
        <v>0</v>
      </c>
      <c r="BG37" s="25">
        <f t="shared" si="46"/>
        <v>0</v>
      </c>
      <c r="BH37" s="25">
        <f t="shared" si="46"/>
        <v>0</v>
      </c>
      <c r="BI37" s="25">
        <f t="shared" si="46"/>
        <v>0</v>
      </c>
      <c r="BJ37" s="25">
        <f t="shared" si="46"/>
        <v>0</v>
      </c>
      <c r="BK37" s="25">
        <f t="shared" si="46"/>
        <v>83045271</v>
      </c>
      <c r="BL37" s="25">
        <f t="shared" si="46"/>
        <v>0</v>
      </c>
      <c r="BM37" s="25">
        <f t="shared" si="46"/>
        <v>0</v>
      </c>
      <c r="BN37" s="25">
        <f t="shared" si="46"/>
        <v>0</v>
      </c>
      <c r="BO37" s="25"/>
      <c r="BP37" s="25"/>
      <c r="BQ37" s="25">
        <f t="shared" ref="BQ37:BQ57" si="47">Y37-AV37</f>
        <v>0</v>
      </c>
      <c r="BR37" s="25">
        <f t="shared" ref="BR37:BR57" si="48">+Z37-AW37</f>
        <v>0</v>
      </c>
      <c r="BS37" s="27">
        <f t="shared" si="10"/>
        <v>0.61781331785714289</v>
      </c>
      <c r="BT37" s="25">
        <f t="shared" si="37"/>
        <v>172987729</v>
      </c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>
        <f>+'[1]AGOSTO 2016'!$H$1298</f>
        <v>172987729</v>
      </c>
      <c r="CH37" s="25"/>
      <c r="CI37" s="25"/>
      <c r="CJ37" s="25"/>
      <c r="CK37" s="25"/>
      <c r="CL37" s="25"/>
      <c r="CM37" s="25"/>
      <c r="CN37" s="25"/>
      <c r="CO37" s="27">
        <f t="shared" si="12"/>
        <v>0.38218668214285711</v>
      </c>
      <c r="CP37" s="25">
        <f t="shared" si="38"/>
        <v>107012271</v>
      </c>
      <c r="CQ37" s="25">
        <f t="shared" si="39"/>
        <v>0</v>
      </c>
      <c r="CR37" s="25">
        <f t="shared" si="39"/>
        <v>0</v>
      </c>
      <c r="CS37" s="25">
        <f t="shared" si="39"/>
        <v>0</v>
      </c>
      <c r="CT37" s="25">
        <f t="shared" si="39"/>
        <v>0</v>
      </c>
      <c r="CU37" s="25">
        <f t="shared" si="39"/>
        <v>0</v>
      </c>
      <c r="CV37" s="25">
        <f t="shared" si="39"/>
        <v>0</v>
      </c>
      <c r="CW37" s="25">
        <f t="shared" ref="CW37:DB48" si="49">+N37-CB37</f>
        <v>0</v>
      </c>
      <c r="CX37" s="25">
        <f t="shared" si="49"/>
        <v>0</v>
      </c>
      <c r="CY37" s="25">
        <f t="shared" si="49"/>
        <v>0</v>
      </c>
      <c r="CZ37" s="25">
        <f t="shared" si="41"/>
        <v>0</v>
      </c>
      <c r="DA37" s="25">
        <f t="shared" si="41"/>
        <v>0</v>
      </c>
      <c r="DB37" s="25">
        <f t="shared" si="41"/>
        <v>107012271</v>
      </c>
      <c r="DC37" s="25">
        <f t="shared" ref="DC37:DE48" si="50">+T37-CH37</f>
        <v>0</v>
      </c>
      <c r="DD37" s="25">
        <f t="shared" si="50"/>
        <v>0</v>
      </c>
      <c r="DE37" s="25">
        <f t="shared" si="50"/>
        <v>0</v>
      </c>
      <c r="DF37" s="25"/>
      <c r="DG37" s="25">
        <f t="shared" ref="DG37:DG48" si="51">+X37-CL37</f>
        <v>0</v>
      </c>
      <c r="DH37" s="25">
        <f t="shared" si="44"/>
        <v>0</v>
      </c>
      <c r="DI37" s="25">
        <f t="shared" ref="DI37:DI48" si="52">+Z37-CN37</f>
        <v>0</v>
      </c>
    </row>
    <row r="38" spans="1:113" ht="42" customHeight="1" x14ac:dyDescent="0.25">
      <c r="A38" s="193"/>
      <c r="B38" s="187"/>
      <c r="C38" s="21" t="s">
        <v>132</v>
      </c>
      <c r="D38" s="55" t="s">
        <v>133</v>
      </c>
      <c r="E38" s="23">
        <v>410</v>
      </c>
      <c r="F38" s="24" t="s">
        <v>134</v>
      </c>
      <c r="G38" s="25">
        <f t="shared" si="31"/>
        <v>178627198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>
        <v>7696735</v>
      </c>
      <c r="T38" s="25"/>
      <c r="U38" s="25">
        <v>147930463</v>
      </c>
      <c r="V38" s="25"/>
      <c r="W38" s="25"/>
      <c r="X38" s="25"/>
      <c r="Y38" s="56"/>
      <c r="Z38" s="56">
        <f>35000000+3000000-15000000</f>
        <v>23000000</v>
      </c>
      <c r="AB38" s="27">
        <f t="shared" si="1"/>
        <v>0.50927316790805843</v>
      </c>
      <c r="AC38" s="25">
        <f t="shared" si="32"/>
        <v>90970039</v>
      </c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>
        <f>+'[7]JUNIO 2016'!$W$1028</f>
        <v>7654735</v>
      </c>
      <c r="AQ38" s="25"/>
      <c r="AR38" s="25">
        <f>+'[1]AGOSTO 2016'!$Y$1384</f>
        <v>61816077</v>
      </c>
      <c r="AS38" s="25"/>
      <c r="AT38" s="25"/>
      <c r="AU38" s="25"/>
      <c r="AV38" s="25"/>
      <c r="AW38" s="25">
        <f>+'[1]AGOSTO 2016'!$AG$1384</f>
        <v>21499227</v>
      </c>
      <c r="AX38" s="27">
        <f t="shared" si="3"/>
        <v>0.49072683209194157</v>
      </c>
      <c r="AY38" s="25">
        <f t="shared" si="33"/>
        <v>87657159</v>
      </c>
      <c r="AZ38" s="25">
        <f t="shared" si="34"/>
        <v>0</v>
      </c>
      <c r="BA38" s="25">
        <f t="shared" si="34"/>
        <v>0</v>
      </c>
      <c r="BB38" s="25">
        <f t="shared" si="34"/>
        <v>0</v>
      </c>
      <c r="BC38" s="25">
        <f t="shared" si="46"/>
        <v>0</v>
      </c>
      <c r="BD38" s="25">
        <f t="shared" si="46"/>
        <v>0</v>
      </c>
      <c r="BE38" s="25">
        <f t="shared" si="46"/>
        <v>0</v>
      </c>
      <c r="BF38" s="25">
        <f t="shared" si="46"/>
        <v>0</v>
      </c>
      <c r="BG38" s="25">
        <f t="shared" si="46"/>
        <v>0</v>
      </c>
      <c r="BH38" s="25">
        <f t="shared" si="46"/>
        <v>0</v>
      </c>
      <c r="BI38" s="25">
        <f t="shared" si="46"/>
        <v>0</v>
      </c>
      <c r="BJ38" s="25">
        <f t="shared" si="46"/>
        <v>0</v>
      </c>
      <c r="BK38" s="25">
        <f t="shared" si="46"/>
        <v>42000</v>
      </c>
      <c r="BL38" s="25">
        <f t="shared" si="46"/>
        <v>0</v>
      </c>
      <c r="BM38" s="25">
        <f t="shared" si="46"/>
        <v>86114386</v>
      </c>
      <c r="BN38" s="25">
        <f t="shared" si="46"/>
        <v>0</v>
      </c>
      <c r="BO38" s="25"/>
      <c r="BP38" s="25"/>
      <c r="BQ38" s="25">
        <f t="shared" si="47"/>
        <v>0</v>
      </c>
      <c r="BR38" s="25">
        <f t="shared" si="48"/>
        <v>1500773</v>
      </c>
      <c r="BS38" s="27">
        <f t="shared" si="10"/>
        <v>0.50927305594302608</v>
      </c>
      <c r="BT38" s="25">
        <f t="shared" si="37"/>
        <v>90970019</v>
      </c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>
        <f>+'[8]MAYO 2016'!$H$901+'[8]MAYO 2016'!$H$904+'[8]MAYO 2016'!$H$906+'[8]MAYO 2016'!$W$908</f>
        <v>7654735</v>
      </c>
      <c r="CH38" s="25"/>
      <c r="CI38" s="25">
        <f>+'[1]AGOSTO 2016'!$Y$1384-3</f>
        <v>61816074</v>
      </c>
      <c r="CJ38" s="25"/>
      <c r="CK38" s="25"/>
      <c r="CL38" s="25"/>
      <c r="CM38" s="25"/>
      <c r="CN38" s="25">
        <f>+'[1]AGOSTO 2016'!$AG$1384-17</f>
        <v>21499210</v>
      </c>
      <c r="CO38" s="27">
        <f t="shared" si="12"/>
        <v>0.49072694405697392</v>
      </c>
      <c r="CP38" s="25">
        <f t="shared" si="38"/>
        <v>87657179</v>
      </c>
      <c r="CQ38" s="25">
        <f t="shared" si="39"/>
        <v>0</v>
      </c>
      <c r="CR38" s="25">
        <f t="shared" si="39"/>
        <v>0</v>
      </c>
      <c r="CS38" s="25">
        <f t="shared" si="39"/>
        <v>0</v>
      </c>
      <c r="CT38" s="25">
        <f t="shared" si="39"/>
        <v>0</v>
      </c>
      <c r="CU38" s="25">
        <f t="shared" si="39"/>
        <v>0</v>
      </c>
      <c r="CV38" s="25">
        <f t="shared" si="39"/>
        <v>0</v>
      </c>
      <c r="CW38" s="25">
        <f t="shared" si="49"/>
        <v>0</v>
      </c>
      <c r="CX38" s="25">
        <f t="shared" si="49"/>
        <v>0</v>
      </c>
      <c r="CY38" s="25">
        <f t="shared" si="49"/>
        <v>0</v>
      </c>
      <c r="CZ38" s="25">
        <f t="shared" si="41"/>
        <v>0</v>
      </c>
      <c r="DA38" s="25">
        <f t="shared" si="41"/>
        <v>0</v>
      </c>
      <c r="DB38" s="25">
        <f t="shared" si="41"/>
        <v>42000</v>
      </c>
      <c r="DC38" s="25">
        <f t="shared" si="50"/>
        <v>0</v>
      </c>
      <c r="DD38" s="25">
        <f t="shared" si="50"/>
        <v>86114389</v>
      </c>
      <c r="DE38" s="25">
        <f t="shared" si="50"/>
        <v>0</v>
      </c>
      <c r="DF38" s="25"/>
      <c r="DG38" s="25">
        <f t="shared" si="51"/>
        <v>0</v>
      </c>
      <c r="DH38" s="25">
        <f t="shared" si="44"/>
        <v>0</v>
      </c>
      <c r="DI38" s="25">
        <f t="shared" si="52"/>
        <v>1500790</v>
      </c>
    </row>
    <row r="39" spans="1:113" ht="35.25" customHeight="1" x14ac:dyDescent="0.25">
      <c r="A39" s="193"/>
      <c r="B39" s="187"/>
      <c r="C39" s="21" t="s">
        <v>135</v>
      </c>
      <c r="D39" s="22" t="s">
        <v>136</v>
      </c>
      <c r="E39" s="23">
        <v>410</v>
      </c>
      <c r="F39" s="24" t="s">
        <v>91</v>
      </c>
      <c r="G39" s="25">
        <f t="shared" si="31"/>
        <v>200000000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>
        <v>100000000</v>
      </c>
      <c r="T39" s="25"/>
      <c r="U39" s="25"/>
      <c r="V39" s="25"/>
      <c r="W39" s="25"/>
      <c r="X39" s="25"/>
      <c r="Y39" s="56">
        <f>62258164+37741836</f>
        <v>100000000</v>
      </c>
      <c r="Z39" s="56"/>
      <c r="AB39" s="27">
        <f t="shared" si="1"/>
        <v>0.54790000000000005</v>
      </c>
      <c r="AC39" s="25">
        <f t="shared" si="32"/>
        <v>109580000</v>
      </c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>
        <f>+'[4]ENERO 2016'!$W$352</f>
        <v>100000000</v>
      </c>
      <c r="AQ39" s="25"/>
      <c r="AR39" s="25"/>
      <c r="AS39" s="25"/>
      <c r="AT39" s="25"/>
      <c r="AU39" s="25"/>
      <c r="AV39" s="25">
        <f>+'[7]JUNIO 2016'!$AF$1063</f>
        <v>9580000</v>
      </c>
      <c r="AW39" s="25"/>
      <c r="AX39" s="27">
        <f t="shared" si="3"/>
        <v>0.45209999999999995</v>
      </c>
      <c r="AY39" s="25">
        <f t="shared" si="33"/>
        <v>90420000</v>
      </c>
      <c r="AZ39" s="25">
        <f t="shared" si="34"/>
        <v>0</v>
      </c>
      <c r="BA39" s="25">
        <f t="shared" si="34"/>
        <v>0</v>
      </c>
      <c r="BB39" s="25">
        <f t="shared" si="34"/>
        <v>0</v>
      </c>
      <c r="BC39" s="25">
        <f t="shared" si="46"/>
        <v>0</v>
      </c>
      <c r="BD39" s="25">
        <f t="shared" si="46"/>
        <v>0</v>
      </c>
      <c r="BE39" s="25">
        <f t="shared" si="46"/>
        <v>0</v>
      </c>
      <c r="BF39" s="25">
        <f t="shared" si="46"/>
        <v>0</v>
      </c>
      <c r="BG39" s="25">
        <f t="shared" si="46"/>
        <v>0</v>
      </c>
      <c r="BH39" s="25">
        <f t="shared" si="46"/>
        <v>0</v>
      </c>
      <c r="BI39" s="25">
        <f t="shared" si="46"/>
        <v>0</v>
      </c>
      <c r="BJ39" s="25">
        <f t="shared" si="46"/>
        <v>0</v>
      </c>
      <c r="BK39" s="25">
        <f t="shared" si="46"/>
        <v>0</v>
      </c>
      <c r="BL39" s="25">
        <f t="shared" si="46"/>
        <v>0</v>
      </c>
      <c r="BM39" s="25">
        <f t="shared" si="46"/>
        <v>0</v>
      </c>
      <c r="BN39" s="25">
        <f t="shared" si="46"/>
        <v>0</v>
      </c>
      <c r="BO39" s="25"/>
      <c r="BP39" s="25"/>
      <c r="BQ39" s="25">
        <f t="shared" si="47"/>
        <v>90420000</v>
      </c>
      <c r="BR39" s="25">
        <f t="shared" si="48"/>
        <v>0</v>
      </c>
      <c r="BS39" s="27">
        <f t="shared" si="10"/>
        <v>0.54790000000000005</v>
      </c>
      <c r="BT39" s="25">
        <f t="shared" si="37"/>
        <v>109580000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>
        <f>+'[2]MARZO 2016 ULTIMO'!$H$622</f>
        <v>100000000</v>
      </c>
      <c r="CH39" s="25"/>
      <c r="CI39" s="25"/>
      <c r="CJ39" s="25"/>
      <c r="CK39" s="25"/>
      <c r="CL39" s="25"/>
      <c r="CM39" s="25">
        <f>+'[7]JUNIO 2016'!$AF$1063</f>
        <v>9580000</v>
      </c>
      <c r="CN39" s="25"/>
      <c r="CO39" s="27">
        <f t="shared" si="12"/>
        <v>0.45209999999999995</v>
      </c>
      <c r="CP39" s="25">
        <f t="shared" si="38"/>
        <v>90420000</v>
      </c>
      <c r="CQ39" s="25">
        <f t="shared" si="39"/>
        <v>0</v>
      </c>
      <c r="CR39" s="25">
        <f t="shared" si="39"/>
        <v>0</v>
      </c>
      <c r="CS39" s="25">
        <f t="shared" si="39"/>
        <v>0</v>
      </c>
      <c r="CT39" s="25">
        <f t="shared" si="39"/>
        <v>0</v>
      </c>
      <c r="CU39" s="25">
        <f t="shared" si="39"/>
        <v>0</v>
      </c>
      <c r="CV39" s="25">
        <f t="shared" si="39"/>
        <v>0</v>
      </c>
      <c r="CW39" s="25">
        <f t="shared" si="49"/>
        <v>0</v>
      </c>
      <c r="CX39" s="25">
        <f t="shared" si="49"/>
        <v>0</v>
      </c>
      <c r="CY39" s="25">
        <f t="shared" si="49"/>
        <v>0</v>
      </c>
      <c r="CZ39" s="25">
        <f t="shared" si="41"/>
        <v>0</v>
      </c>
      <c r="DA39" s="25">
        <f t="shared" si="41"/>
        <v>0</v>
      </c>
      <c r="DB39" s="25">
        <f t="shared" si="41"/>
        <v>0</v>
      </c>
      <c r="DC39" s="25">
        <f t="shared" si="50"/>
        <v>0</v>
      </c>
      <c r="DD39" s="25">
        <f t="shared" si="50"/>
        <v>0</v>
      </c>
      <c r="DE39" s="25">
        <f t="shared" si="50"/>
        <v>0</v>
      </c>
      <c r="DF39" s="25"/>
      <c r="DG39" s="25">
        <f t="shared" si="51"/>
        <v>0</v>
      </c>
      <c r="DH39" s="25">
        <f t="shared" si="44"/>
        <v>90420000</v>
      </c>
      <c r="DI39" s="25">
        <f t="shared" si="52"/>
        <v>0</v>
      </c>
    </row>
    <row r="40" spans="1:113" ht="33.75" customHeight="1" x14ac:dyDescent="0.25">
      <c r="A40" s="193"/>
      <c r="B40" s="188"/>
      <c r="C40" s="21" t="s">
        <v>137</v>
      </c>
      <c r="D40" s="22" t="s">
        <v>138</v>
      </c>
      <c r="E40" s="23">
        <v>410</v>
      </c>
      <c r="F40" s="24" t="s">
        <v>76</v>
      </c>
      <c r="G40" s="25">
        <f t="shared" si="31"/>
        <v>0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6"/>
      <c r="Z40" s="56">
        <f>5000000-5000000</f>
        <v>0</v>
      </c>
      <c r="AB40" s="27" t="e">
        <f t="shared" si="1"/>
        <v>#DIV/0!</v>
      </c>
      <c r="AC40" s="25">
        <f t="shared" si="32"/>
        <v>0</v>
      </c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7" t="e">
        <f t="shared" si="3"/>
        <v>#DIV/0!</v>
      </c>
      <c r="AY40" s="25">
        <f t="shared" si="33"/>
        <v>0</v>
      </c>
      <c r="AZ40" s="25">
        <f t="shared" si="34"/>
        <v>0</v>
      </c>
      <c r="BA40" s="25">
        <f t="shared" si="34"/>
        <v>0</v>
      </c>
      <c r="BB40" s="25">
        <f t="shared" si="34"/>
        <v>0</v>
      </c>
      <c r="BC40" s="25">
        <f t="shared" si="46"/>
        <v>0</v>
      </c>
      <c r="BD40" s="25">
        <f t="shared" si="46"/>
        <v>0</v>
      </c>
      <c r="BE40" s="25">
        <f t="shared" si="46"/>
        <v>0</v>
      </c>
      <c r="BF40" s="25">
        <f t="shared" si="46"/>
        <v>0</v>
      </c>
      <c r="BG40" s="25">
        <f t="shared" si="46"/>
        <v>0</v>
      </c>
      <c r="BH40" s="25">
        <f t="shared" si="46"/>
        <v>0</v>
      </c>
      <c r="BI40" s="25">
        <f t="shared" si="46"/>
        <v>0</v>
      </c>
      <c r="BJ40" s="25">
        <f t="shared" si="46"/>
        <v>0</v>
      </c>
      <c r="BK40" s="25">
        <f t="shared" si="46"/>
        <v>0</v>
      </c>
      <c r="BL40" s="25">
        <f t="shared" si="46"/>
        <v>0</v>
      </c>
      <c r="BM40" s="25">
        <f t="shared" si="46"/>
        <v>0</v>
      </c>
      <c r="BN40" s="25">
        <f t="shared" si="46"/>
        <v>0</v>
      </c>
      <c r="BO40" s="25"/>
      <c r="BP40" s="25"/>
      <c r="BQ40" s="25">
        <f t="shared" si="47"/>
        <v>0</v>
      </c>
      <c r="BR40" s="25">
        <f t="shared" si="48"/>
        <v>0</v>
      </c>
      <c r="BS40" s="27" t="e">
        <f t="shared" si="10"/>
        <v>#DIV/0!</v>
      </c>
      <c r="BT40" s="25">
        <f t="shared" si="37"/>
        <v>0</v>
      </c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7" t="e">
        <f t="shared" si="12"/>
        <v>#DIV/0!</v>
      </c>
      <c r="CP40" s="25">
        <f t="shared" si="38"/>
        <v>0</v>
      </c>
      <c r="CQ40" s="25">
        <f t="shared" si="39"/>
        <v>0</v>
      </c>
      <c r="CR40" s="25">
        <f t="shared" si="39"/>
        <v>0</v>
      </c>
      <c r="CS40" s="25">
        <f t="shared" si="39"/>
        <v>0</v>
      </c>
      <c r="CT40" s="25">
        <f t="shared" si="39"/>
        <v>0</v>
      </c>
      <c r="CU40" s="25">
        <f t="shared" si="39"/>
        <v>0</v>
      </c>
      <c r="CV40" s="25">
        <f t="shared" si="39"/>
        <v>0</v>
      </c>
      <c r="CW40" s="25">
        <f t="shared" si="49"/>
        <v>0</v>
      </c>
      <c r="CX40" s="25">
        <f t="shared" si="49"/>
        <v>0</v>
      </c>
      <c r="CY40" s="25">
        <f t="shared" si="49"/>
        <v>0</v>
      </c>
      <c r="CZ40" s="25">
        <f t="shared" si="41"/>
        <v>0</v>
      </c>
      <c r="DA40" s="25">
        <f t="shared" si="41"/>
        <v>0</v>
      </c>
      <c r="DB40" s="25">
        <f t="shared" si="41"/>
        <v>0</v>
      </c>
      <c r="DC40" s="25">
        <f t="shared" si="50"/>
        <v>0</v>
      </c>
      <c r="DD40" s="25">
        <f t="shared" si="50"/>
        <v>0</v>
      </c>
      <c r="DE40" s="25">
        <f t="shared" si="50"/>
        <v>0</v>
      </c>
      <c r="DF40" s="25"/>
      <c r="DG40" s="25">
        <f t="shared" si="51"/>
        <v>0</v>
      </c>
      <c r="DH40" s="25">
        <f t="shared" si="44"/>
        <v>0</v>
      </c>
      <c r="DI40" s="25">
        <f t="shared" si="52"/>
        <v>0</v>
      </c>
    </row>
    <row r="41" spans="1:113" ht="21.75" customHeight="1" x14ac:dyDescent="0.25">
      <c r="A41" s="193"/>
      <c r="B41" s="186" t="s">
        <v>139</v>
      </c>
      <c r="C41" s="21" t="s">
        <v>140</v>
      </c>
      <c r="D41" s="22" t="s">
        <v>141</v>
      </c>
      <c r="E41" s="23">
        <v>410</v>
      </c>
      <c r="F41" s="24" t="s">
        <v>91</v>
      </c>
      <c r="G41" s="25">
        <f t="shared" si="31"/>
        <v>1802332849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>
        <f>1300000000+44000000-44000000+488711643+13621206</f>
        <v>1802332849</v>
      </c>
      <c r="S41" s="25"/>
      <c r="T41" s="25"/>
      <c r="U41" s="25"/>
      <c r="V41" s="25"/>
      <c r="W41" s="25"/>
      <c r="X41" s="25"/>
      <c r="Y41" s="56"/>
      <c r="Z41" s="56"/>
      <c r="AB41" s="27">
        <f t="shared" si="1"/>
        <v>0.97820850403864557</v>
      </c>
      <c r="AC41" s="25">
        <f t="shared" si="32"/>
        <v>1763057320</v>
      </c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>
        <f>+'[1]AGOSTO 2016'!$V$1459</f>
        <v>1763057320</v>
      </c>
      <c r="AP41" s="25"/>
      <c r="AQ41" s="25"/>
      <c r="AR41" s="25"/>
      <c r="AS41" s="25"/>
      <c r="AT41" s="25"/>
      <c r="AU41" s="25"/>
      <c r="AV41" s="25"/>
      <c r="AW41" s="25"/>
      <c r="AX41" s="27">
        <f t="shared" si="3"/>
        <v>2.1791495961354435E-2</v>
      </c>
      <c r="AY41" s="25">
        <f t="shared" si="33"/>
        <v>39275529</v>
      </c>
      <c r="AZ41" s="25">
        <f t="shared" si="34"/>
        <v>0</v>
      </c>
      <c r="BA41" s="25">
        <f t="shared" si="34"/>
        <v>0</v>
      </c>
      <c r="BB41" s="25">
        <f t="shared" si="34"/>
        <v>0</v>
      </c>
      <c r="BC41" s="25">
        <f t="shared" si="46"/>
        <v>0</v>
      </c>
      <c r="BD41" s="25">
        <f t="shared" si="46"/>
        <v>0</v>
      </c>
      <c r="BE41" s="25">
        <f t="shared" si="46"/>
        <v>0</v>
      </c>
      <c r="BF41" s="25">
        <f t="shared" si="46"/>
        <v>0</v>
      </c>
      <c r="BG41" s="25">
        <f t="shared" si="46"/>
        <v>0</v>
      </c>
      <c r="BH41" s="25">
        <f t="shared" si="46"/>
        <v>0</v>
      </c>
      <c r="BI41" s="25">
        <f t="shared" si="46"/>
        <v>0</v>
      </c>
      <c r="BJ41" s="25">
        <f t="shared" si="46"/>
        <v>39275529</v>
      </c>
      <c r="BK41" s="25">
        <f t="shared" si="46"/>
        <v>0</v>
      </c>
      <c r="BL41" s="25">
        <f t="shared" si="46"/>
        <v>0</v>
      </c>
      <c r="BM41" s="25">
        <f t="shared" si="46"/>
        <v>0</v>
      </c>
      <c r="BN41" s="25">
        <f t="shared" si="46"/>
        <v>0</v>
      </c>
      <c r="BO41" s="25"/>
      <c r="BP41" s="25">
        <f>+X41-AU41</f>
        <v>0</v>
      </c>
      <c r="BQ41" s="25">
        <f t="shared" si="47"/>
        <v>0</v>
      </c>
      <c r="BR41" s="25">
        <f t="shared" si="48"/>
        <v>0</v>
      </c>
      <c r="BS41" s="27">
        <f t="shared" si="10"/>
        <v>0.60224524487929365</v>
      </c>
      <c r="BT41" s="25">
        <f t="shared" si="37"/>
        <v>1085446388</v>
      </c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>
        <f>+'[1]AGOSTO 2016'!$H$1457</f>
        <v>1085446388</v>
      </c>
      <c r="CG41" s="25"/>
      <c r="CH41" s="25"/>
      <c r="CI41" s="25"/>
      <c r="CJ41" s="25"/>
      <c r="CK41" s="25"/>
      <c r="CL41" s="25"/>
      <c r="CM41" s="25"/>
      <c r="CN41" s="25"/>
      <c r="CO41" s="27">
        <f t="shared" si="12"/>
        <v>0.39775475512070635</v>
      </c>
      <c r="CP41" s="25">
        <f t="shared" si="38"/>
        <v>716886461</v>
      </c>
      <c r="CQ41" s="25">
        <f t="shared" si="39"/>
        <v>0</v>
      </c>
      <c r="CR41" s="25">
        <f t="shared" si="39"/>
        <v>0</v>
      </c>
      <c r="CS41" s="25">
        <f t="shared" si="39"/>
        <v>0</v>
      </c>
      <c r="CT41" s="25">
        <f t="shared" si="39"/>
        <v>0</v>
      </c>
      <c r="CU41" s="25">
        <f t="shared" si="39"/>
        <v>0</v>
      </c>
      <c r="CV41" s="25">
        <f t="shared" si="39"/>
        <v>0</v>
      </c>
      <c r="CW41" s="25">
        <f t="shared" si="49"/>
        <v>0</v>
      </c>
      <c r="CX41" s="25">
        <f t="shared" si="49"/>
        <v>0</v>
      </c>
      <c r="CY41" s="25">
        <f t="shared" si="49"/>
        <v>0</v>
      </c>
      <c r="CZ41" s="25">
        <f t="shared" si="41"/>
        <v>0</v>
      </c>
      <c r="DA41" s="25">
        <f t="shared" si="41"/>
        <v>716886461</v>
      </c>
      <c r="DB41" s="25">
        <f t="shared" si="41"/>
        <v>0</v>
      </c>
      <c r="DC41" s="25">
        <f t="shared" si="50"/>
        <v>0</v>
      </c>
      <c r="DD41" s="25">
        <f t="shared" si="50"/>
        <v>0</v>
      </c>
      <c r="DE41" s="25">
        <f t="shared" si="50"/>
        <v>0</v>
      </c>
      <c r="DF41" s="25"/>
      <c r="DG41" s="25">
        <f t="shared" si="51"/>
        <v>0</v>
      </c>
      <c r="DH41" s="25">
        <f t="shared" si="44"/>
        <v>0</v>
      </c>
      <c r="DI41" s="25">
        <f t="shared" si="52"/>
        <v>0</v>
      </c>
    </row>
    <row r="42" spans="1:113" ht="35.25" customHeight="1" x14ac:dyDescent="0.25">
      <c r="A42" s="193"/>
      <c r="B42" s="187"/>
      <c r="C42" s="21" t="s">
        <v>142</v>
      </c>
      <c r="D42" s="22" t="s">
        <v>143</v>
      </c>
      <c r="E42" s="23">
        <v>410</v>
      </c>
      <c r="F42" s="24" t="s">
        <v>91</v>
      </c>
      <c r="G42" s="25">
        <f t="shared" si="31"/>
        <v>96094870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>
        <f>50000000+3094870+20000000+23000000</f>
        <v>96094870</v>
      </c>
      <c r="V42" s="25"/>
      <c r="W42" s="25"/>
      <c r="X42" s="25"/>
      <c r="Y42" s="56"/>
      <c r="Z42" s="56"/>
      <c r="AB42" s="27">
        <f t="shared" si="1"/>
        <v>0.81574458657366411</v>
      </c>
      <c r="AC42" s="25">
        <f t="shared" si="32"/>
        <v>78388870</v>
      </c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>
        <f>+'[7]JUNIO 2016'!$Y$1217</f>
        <v>78388870</v>
      </c>
      <c r="AS42" s="25"/>
      <c r="AT42" s="25"/>
      <c r="AU42" s="25"/>
      <c r="AV42" s="25"/>
      <c r="AW42" s="25"/>
      <c r="AX42" s="27">
        <f t="shared" si="3"/>
        <v>0.18425541342633589</v>
      </c>
      <c r="AY42" s="25">
        <f t="shared" si="33"/>
        <v>17706000</v>
      </c>
      <c r="AZ42" s="25">
        <f t="shared" si="34"/>
        <v>0</v>
      </c>
      <c r="BA42" s="25">
        <f t="shared" si="34"/>
        <v>0</v>
      </c>
      <c r="BB42" s="25">
        <f t="shared" si="34"/>
        <v>0</v>
      </c>
      <c r="BC42" s="25">
        <f t="shared" si="46"/>
        <v>0</v>
      </c>
      <c r="BD42" s="25">
        <f t="shared" si="46"/>
        <v>0</v>
      </c>
      <c r="BE42" s="25">
        <f t="shared" si="46"/>
        <v>0</v>
      </c>
      <c r="BF42" s="25">
        <f t="shared" si="46"/>
        <v>0</v>
      </c>
      <c r="BG42" s="25">
        <f>+O42-AM42</f>
        <v>0</v>
      </c>
      <c r="BH42" s="25">
        <f>+P42-AN42</f>
        <v>0</v>
      </c>
      <c r="BI42" s="25">
        <f t="shared" si="46"/>
        <v>0</v>
      </c>
      <c r="BJ42" s="25">
        <f t="shared" si="46"/>
        <v>0</v>
      </c>
      <c r="BK42" s="25">
        <f t="shared" si="46"/>
        <v>0</v>
      </c>
      <c r="BL42" s="25">
        <f t="shared" si="46"/>
        <v>0</v>
      </c>
      <c r="BM42" s="25">
        <f t="shared" si="46"/>
        <v>17706000</v>
      </c>
      <c r="BN42" s="25">
        <f t="shared" si="46"/>
        <v>0</v>
      </c>
      <c r="BO42" s="25"/>
      <c r="BP42" s="25">
        <f>+X42-AU42</f>
        <v>0</v>
      </c>
      <c r="BQ42" s="25">
        <f t="shared" si="47"/>
        <v>0</v>
      </c>
      <c r="BR42" s="25">
        <f t="shared" si="48"/>
        <v>0</v>
      </c>
      <c r="BS42" s="27">
        <f t="shared" si="10"/>
        <v>0.74003816228691499</v>
      </c>
      <c r="BT42" s="25">
        <f t="shared" si="37"/>
        <v>71113871</v>
      </c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>
        <f>+'[1]AGOSTO 2016'!$H$1918</f>
        <v>71113871</v>
      </c>
      <c r="CJ42" s="25"/>
      <c r="CK42" s="25"/>
      <c r="CL42" s="25"/>
      <c r="CM42" s="25"/>
      <c r="CN42" s="25"/>
      <c r="CO42" s="27">
        <f t="shared" si="12"/>
        <v>0.25996183771308501</v>
      </c>
      <c r="CP42" s="25">
        <f t="shared" si="38"/>
        <v>24980999</v>
      </c>
      <c r="CQ42" s="25">
        <f t="shared" si="39"/>
        <v>0</v>
      </c>
      <c r="CR42" s="25">
        <f t="shared" si="39"/>
        <v>0</v>
      </c>
      <c r="CS42" s="25">
        <f t="shared" si="39"/>
        <v>0</v>
      </c>
      <c r="CT42" s="25">
        <f t="shared" si="39"/>
        <v>0</v>
      </c>
      <c r="CU42" s="25">
        <f t="shared" si="39"/>
        <v>0</v>
      </c>
      <c r="CV42" s="25">
        <f t="shared" si="39"/>
        <v>0</v>
      </c>
      <c r="CW42" s="25">
        <f t="shared" si="49"/>
        <v>0</v>
      </c>
      <c r="CX42" s="25">
        <f t="shared" si="49"/>
        <v>0</v>
      </c>
      <c r="CY42" s="25">
        <f t="shared" si="49"/>
        <v>0</v>
      </c>
      <c r="CZ42" s="25">
        <f t="shared" si="41"/>
        <v>0</v>
      </c>
      <c r="DA42" s="25">
        <f t="shared" si="41"/>
        <v>0</v>
      </c>
      <c r="DB42" s="25">
        <f t="shared" si="41"/>
        <v>0</v>
      </c>
      <c r="DC42" s="25">
        <f t="shared" si="50"/>
        <v>0</v>
      </c>
      <c r="DD42" s="25">
        <f t="shared" si="50"/>
        <v>24980999</v>
      </c>
      <c r="DE42" s="25">
        <f t="shared" si="50"/>
        <v>0</v>
      </c>
      <c r="DF42" s="25"/>
      <c r="DG42" s="25">
        <f t="shared" si="51"/>
        <v>0</v>
      </c>
      <c r="DH42" s="25">
        <f t="shared" si="44"/>
        <v>0</v>
      </c>
      <c r="DI42" s="25">
        <f t="shared" si="52"/>
        <v>0</v>
      </c>
    </row>
    <row r="43" spans="1:113" ht="18.75" customHeight="1" x14ac:dyDescent="0.25">
      <c r="A43" s="193"/>
      <c r="B43" s="188"/>
      <c r="C43" s="21" t="s">
        <v>144</v>
      </c>
      <c r="D43" s="22" t="s">
        <v>145</v>
      </c>
      <c r="E43" s="23">
        <v>410</v>
      </c>
      <c r="F43" s="24" t="s">
        <v>91</v>
      </c>
      <c r="G43" s="25">
        <f t="shared" si="31"/>
        <v>22111130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>
        <f>20000000-3094870+5206000</f>
        <v>22111130</v>
      </c>
      <c r="V43" s="25"/>
      <c r="W43" s="25"/>
      <c r="X43" s="25"/>
      <c r="Y43" s="56"/>
      <c r="Z43" s="56"/>
      <c r="AB43" s="27">
        <f t="shared" si="1"/>
        <v>0.76455296495475356</v>
      </c>
      <c r="AC43" s="25">
        <f t="shared" si="32"/>
        <v>16905130</v>
      </c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>
        <f>+'[2]MARZO 2016 ULTIMO'!$Y$724</f>
        <v>16905130</v>
      </c>
      <c r="AS43" s="25"/>
      <c r="AT43" s="25"/>
      <c r="AU43" s="25"/>
      <c r="AV43" s="25"/>
      <c r="AW43" s="25"/>
      <c r="AX43" s="27">
        <f t="shared" si="3"/>
        <v>0.23544703504524644</v>
      </c>
      <c r="AY43" s="25">
        <f t="shared" si="33"/>
        <v>5206000</v>
      </c>
      <c r="AZ43" s="25">
        <f t="shared" si="34"/>
        <v>0</v>
      </c>
      <c r="BA43" s="25">
        <f t="shared" si="34"/>
        <v>0</v>
      </c>
      <c r="BB43" s="25">
        <f t="shared" si="34"/>
        <v>0</v>
      </c>
      <c r="BC43" s="25">
        <f t="shared" si="46"/>
        <v>0</v>
      </c>
      <c r="BD43" s="25">
        <f t="shared" si="46"/>
        <v>0</v>
      </c>
      <c r="BE43" s="25">
        <f t="shared" si="46"/>
        <v>0</v>
      </c>
      <c r="BF43" s="25">
        <f t="shared" si="46"/>
        <v>0</v>
      </c>
      <c r="BG43" s="25">
        <f>+O43-AM43</f>
        <v>0</v>
      </c>
      <c r="BH43" s="25">
        <f>+P43-AN43</f>
        <v>0</v>
      </c>
      <c r="BI43" s="25">
        <f t="shared" si="46"/>
        <v>0</v>
      </c>
      <c r="BJ43" s="25">
        <f t="shared" si="46"/>
        <v>0</v>
      </c>
      <c r="BK43" s="25">
        <f t="shared" si="46"/>
        <v>0</v>
      </c>
      <c r="BL43" s="25"/>
      <c r="BM43" s="25">
        <f t="shared" si="46"/>
        <v>5206000</v>
      </c>
      <c r="BN43" s="25">
        <f t="shared" si="46"/>
        <v>0</v>
      </c>
      <c r="BO43" s="25"/>
      <c r="BP43" s="25"/>
      <c r="BQ43" s="25">
        <f t="shared" si="47"/>
        <v>0</v>
      </c>
      <c r="BR43" s="25">
        <f t="shared" si="48"/>
        <v>0</v>
      </c>
      <c r="BS43" s="27">
        <f t="shared" si="10"/>
        <v>0.76455296495475356</v>
      </c>
      <c r="BT43" s="25">
        <f t="shared" si="37"/>
        <v>16905130</v>
      </c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>
        <f>+'[3]ABRIL 2016'!$H$929</f>
        <v>16905130</v>
      </c>
      <c r="CJ43" s="25"/>
      <c r="CK43" s="25"/>
      <c r="CL43" s="25"/>
      <c r="CM43" s="25"/>
      <c r="CN43" s="25"/>
      <c r="CO43" s="27">
        <f t="shared" si="12"/>
        <v>0.23544703504524644</v>
      </c>
      <c r="CP43" s="25">
        <f t="shared" si="38"/>
        <v>5206000</v>
      </c>
      <c r="CQ43" s="25">
        <f t="shared" si="39"/>
        <v>0</v>
      </c>
      <c r="CR43" s="25">
        <f t="shared" si="39"/>
        <v>0</v>
      </c>
      <c r="CS43" s="25">
        <f t="shared" si="39"/>
        <v>0</v>
      </c>
      <c r="CT43" s="25">
        <f t="shared" si="39"/>
        <v>0</v>
      </c>
      <c r="CU43" s="25">
        <f t="shared" si="39"/>
        <v>0</v>
      </c>
      <c r="CV43" s="25">
        <f t="shared" si="39"/>
        <v>0</v>
      </c>
      <c r="CW43" s="25">
        <f t="shared" si="49"/>
        <v>0</v>
      </c>
      <c r="CX43" s="25">
        <f t="shared" si="49"/>
        <v>0</v>
      </c>
      <c r="CY43" s="25">
        <f t="shared" si="49"/>
        <v>0</v>
      </c>
      <c r="CZ43" s="25">
        <f t="shared" si="41"/>
        <v>0</v>
      </c>
      <c r="DA43" s="25">
        <f t="shared" si="41"/>
        <v>0</v>
      </c>
      <c r="DB43" s="25">
        <f t="shared" si="41"/>
        <v>0</v>
      </c>
      <c r="DC43" s="25">
        <f t="shared" si="50"/>
        <v>0</v>
      </c>
      <c r="DD43" s="25">
        <f t="shared" si="50"/>
        <v>5206000</v>
      </c>
      <c r="DE43" s="25">
        <f t="shared" si="50"/>
        <v>0</v>
      </c>
      <c r="DF43" s="25"/>
      <c r="DG43" s="25">
        <f t="shared" si="51"/>
        <v>0</v>
      </c>
      <c r="DH43" s="25">
        <f t="shared" si="44"/>
        <v>0</v>
      </c>
      <c r="DI43" s="25">
        <f t="shared" si="52"/>
        <v>0</v>
      </c>
    </row>
    <row r="44" spans="1:113" ht="30.75" customHeight="1" x14ac:dyDescent="0.25">
      <c r="A44" s="193"/>
      <c r="B44" s="186" t="s">
        <v>146</v>
      </c>
      <c r="C44" s="21" t="s">
        <v>147</v>
      </c>
      <c r="D44" s="22" t="s">
        <v>148</v>
      </c>
      <c r="E44" s="23">
        <v>410</v>
      </c>
      <c r="F44" s="24" t="s">
        <v>91</v>
      </c>
      <c r="G44" s="25">
        <f t="shared" si="31"/>
        <v>20000000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>
        <v>20000000</v>
      </c>
      <c r="V44" s="25"/>
      <c r="W44" s="25"/>
      <c r="X44" s="25"/>
      <c r="Y44" s="56"/>
      <c r="Z44" s="56"/>
      <c r="AB44" s="27">
        <f t="shared" si="1"/>
        <v>1</v>
      </c>
      <c r="AC44" s="25">
        <f t="shared" si="32"/>
        <v>20000000</v>
      </c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>
        <f>+'[4]ENERO 2016'!$Y$406</f>
        <v>20000000</v>
      </c>
      <c r="AS44" s="25"/>
      <c r="AT44" s="25"/>
      <c r="AU44" s="25"/>
      <c r="AV44" s="25"/>
      <c r="AW44" s="25"/>
      <c r="AX44" s="27">
        <f t="shared" si="3"/>
        <v>0</v>
      </c>
      <c r="AY44" s="25">
        <f t="shared" si="33"/>
        <v>0</v>
      </c>
      <c r="AZ44" s="25">
        <f t="shared" si="34"/>
        <v>0</v>
      </c>
      <c r="BA44" s="25">
        <f t="shared" si="34"/>
        <v>0</v>
      </c>
      <c r="BB44" s="25">
        <f t="shared" si="34"/>
        <v>0</v>
      </c>
      <c r="BC44" s="25">
        <f t="shared" si="46"/>
        <v>0</v>
      </c>
      <c r="BD44" s="25">
        <f t="shared" si="46"/>
        <v>0</v>
      </c>
      <c r="BE44" s="25">
        <f t="shared" si="46"/>
        <v>0</v>
      </c>
      <c r="BF44" s="25">
        <f t="shared" si="46"/>
        <v>0</v>
      </c>
      <c r="BG44" s="25">
        <f t="shared" si="46"/>
        <v>0</v>
      </c>
      <c r="BH44" s="25">
        <f t="shared" ref="BH44:BH57" si="53">+P44-AN44</f>
        <v>0</v>
      </c>
      <c r="BI44" s="25">
        <f t="shared" si="46"/>
        <v>0</v>
      </c>
      <c r="BJ44" s="25">
        <f t="shared" si="46"/>
        <v>0</v>
      </c>
      <c r="BK44" s="25">
        <f t="shared" si="46"/>
        <v>0</v>
      </c>
      <c r="BL44" s="25">
        <f>+T44-AQ44</f>
        <v>0</v>
      </c>
      <c r="BM44" s="25">
        <f t="shared" si="46"/>
        <v>0</v>
      </c>
      <c r="BN44" s="25">
        <f t="shared" si="46"/>
        <v>0</v>
      </c>
      <c r="BO44" s="25"/>
      <c r="BP44" s="25">
        <f>+X44-AU44</f>
        <v>0</v>
      </c>
      <c r="BQ44" s="25">
        <f t="shared" si="47"/>
        <v>0</v>
      </c>
      <c r="BR44" s="25">
        <f t="shared" si="48"/>
        <v>0</v>
      </c>
      <c r="BS44" s="27">
        <f t="shared" si="10"/>
        <v>1</v>
      </c>
      <c r="BT44" s="25">
        <f t="shared" si="37"/>
        <v>20000000</v>
      </c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>
        <f>+'[6]JULIO 2016'!$H$1402</f>
        <v>20000000</v>
      </c>
      <c r="CJ44" s="25"/>
      <c r="CK44" s="25"/>
      <c r="CL44" s="25"/>
      <c r="CM44" s="25"/>
      <c r="CN44" s="25"/>
      <c r="CO44" s="27">
        <f t="shared" si="12"/>
        <v>0</v>
      </c>
      <c r="CP44" s="25">
        <f t="shared" si="38"/>
        <v>0</v>
      </c>
      <c r="CQ44" s="25">
        <f t="shared" si="39"/>
        <v>0</v>
      </c>
      <c r="CR44" s="25">
        <f t="shared" si="39"/>
        <v>0</v>
      </c>
      <c r="CS44" s="25">
        <f t="shared" si="39"/>
        <v>0</v>
      </c>
      <c r="CT44" s="25">
        <f t="shared" si="39"/>
        <v>0</v>
      </c>
      <c r="CU44" s="25">
        <f t="shared" si="39"/>
        <v>0</v>
      </c>
      <c r="CV44" s="25">
        <f t="shared" si="39"/>
        <v>0</v>
      </c>
      <c r="CW44" s="25">
        <f t="shared" si="49"/>
        <v>0</v>
      </c>
      <c r="CX44" s="25">
        <f t="shared" si="49"/>
        <v>0</v>
      </c>
      <c r="CY44" s="25">
        <f t="shared" si="49"/>
        <v>0</v>
      </c>
      <c r="CZ44" s="25">
        <f t="shared" si="41"/>
        <v>0</v>
      </c>
      <c r="DA44" s="25">
        <f t="shared" si="41"/>
        <v>0</v>
      </c>
      <c r="DB44" s="25">
        <f t="shared" si="41"/>
        <v>0</v>
      </c>
      <c r="DC44" s="25">
        <f t="shared" si="50"/>
        <v>0</v>
      </c>
      <c r="DD44" s="25">
        <f t="shared" si="50"/>
        <v>0</v>
      </c>
      <c r="DE44" s="25">
        <f t="shared" si="50"/>
        <v>0</v>
      </c>
      <c r="DF44" s="25"/>
      <c r="DG44" s="25">
        <f t="shared" si="51"/>
        <v>0</v>
      </c>
      <c r="DH44" s="25">
        <f t="shared" si="44"/>
        <v>0</v>
      </c>
      <c r="DI44" s="25">
        <f t="shared" si="52"/>
        <v>0</v>
      </c>
    </row>
    <row r="45" spans="1:113" ht="33.75" customHeight="1" x14ac:dyDescent="0.25">
      <c r="A45" s="193"/>
      <c r="B45" s="187"/>
      <c r="C45" s="21" t="s">
        <v>149</v>
      </c>
      <c r="D45" s="22" t="s">
        <v>150</v>
      </c>
      <c r="E45" s="23">
        <v>410</v>
      </c>
      <c r="F45" s="24" t="s">
        <v>91</v>
      </c>
      <c r="G45" s="25">
        <f t="shared" si="31"/>
        <v>10000000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>
        <v>10000000</v>
      </c>
      <c r="V45" s="25"/>
      <c r="W45" s="25"/>
      <c r="X45" s="25"/>
      <c r="Y45" s="56"/>
      <c r="Z45" s="56"/>
      <c r="AB45" s="27">
        <f t="shared" si="1"/>
        <v>0.92333399999999999</v>
      </c>
      <c r="AC45" s="25">
        <f t="shared" si="32"/>
        <v>9233340</v>
      </c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>
        <f>+'[8]MAYO 2016'!$G$1115</f>
        <v>9233340</v>
      </c>
      <c r="AS45" s="25"/>
      <c r="AT45" s="25"/>
      <c r="AU45" s="25"/>
      <c r="AV45" s="25"/>
      <c r="AW45" s="25"/>
      <c r="AX45" s="27">
        <f t="shared" si="3"/>
        <v>7.6666000000000012E-2</v>
      </c>
      <c r="AY45" s="25">
        <f t="shared" si="33"/>
        <v>766660</v>
      </c>
      <c r="AZ45" s="25">
        <f t="shared" si="34"/>
        <v>0</v>
      </c>
      <c r="BA45" s="25">
        <f t="shared" si="34"/>
        <v>0</v>
      </c>
      <c r="BB45" s="25">
        <f t="shared" si="34"/>
        <v>0</v>
      </c>
      <c r="BC45" s="25">
        <f t="shared" si="46"/>
        <v>0</v>
      </c>
      <c r="BD45" s="25">
        <f t="shared" si="46"/>
        <v>0</v>
      </c>
      <c r="BE45" s="25">
        <f t="shared" si="46"/>
        <v>0</v>
      </c>
      <c r="BF45" s="25">
        <f t="shared" si="46"/>
        <v>0</v>
      </c>
      <c r="BG45" s="25">
        <f t="shared" si="46"/>
        <v>0</v>
      </c>
      <c r="BH45" s="25">
        <f t="shared" si="53"/>
        <v>0</v>
      </c>
      <c r="BI45" s="25">
        <f t="shared" si="46"/>
        <v>0</v>
      </c>
      <c r="BJ45" s="25">
        <f t="shared" si="46"/>
        <v>0</v>
      </c>
      <c r="BK45" s="25">
        <f t="shared" si="46"/>
        <v>0</v>
      </c>
      <c r="BL45" s="25">
        <f>+T45-AQ45</f>
        <v>0</v>
      </c>
      <c r="BM45" s="25">
        <f t="shared" si="46"/>
        <v>766660</v>
      </c>
      <c r="BN45" s="25">
        <f t="shared" si="46"/>
        <v>0</v>
      </c>
      <c r="BO45" s="25"/>
      <c r="BP45" s="25"/>
      <c r="BQ45" s="25">
        <f t="shared" si="47"/>
        <v>0</v>
      </c>
      <c r="BR45" s="25">
        <f t="shared" si="48"/>
        <v>0</v>
      </c>
      <c r="BS45" s="27">
        <f t="shared" si="10"/>
        <v>0.92333399999999999</v>
      </c>
      <c r="BT45" s="25">
        <f t="shared" si="37"/>
        <v>9233340</v>
      </c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>
        <f>+'[8]MAYO 2016'!$H$1115</f>
        <v>9233340</v>
      </c>
      <c r="CJ45" s="25"/>
      <c r="CK45" s="25"/>
      <c r="CL45" s="25"/>
      <c r="CM45" s="25"/>
      <c r="CN45" s="25"/>
      <c r="CO45" s="27">
        <f t="shared" si="12"/>
        <v>7.6666000000000012E-2</v>
      </c>
      <c r="CP45" s="25">
        <f t="shared" si="38"/>
        <v>766660</v>
      </c>
      <c r="CQ45" s="25">
        <f t="shared" si="39"/>
        <v>0</v>
      </c>
      <c r="CR45" s="25">
        <f t="shared" si="39"/>
        <v>0</v>
      </c>
      <c r="CS45" s="25">
        <f t="shared" si="39"/>
        <v>0</v>
      </c>
      <c r="CT45" s="25">
        <f t="shared" si="39"/>
        <v>0</v>
      </c>
      <c r="CU45" s="25">
        <f t="shared" si="39"/>
        <v>0</v>
      </c>
      <c r="CV45" s="25">
        <f t="shared" si="39"/>
        <v>0</v>
      </c>
      <c r="CW45" s="25">
        <f t="shared" si="49"/>
        <v>0</v>
      </c>
      <c r="CX45" s="25">
        <f t="shared" si="49"/>
        <v>0</v>
      </c>
      <c r="CY45" s="25">
        <f t="shared" si="49"/>
        <v>0</v>
      </c>
      <c r="CZ45" s="25">
        <f t="shared" si="41"/>
        <v>0</v>
      </c>
      <c r="DA45" s="25">
        <f t="shared" si="41"/>
        <v>0</v>
      </c>
      <c r="DB45" s="25">
        <f t="shared" si="41"/>
        <v>0</v>
      </c>
      <c r="DC45" s="25">
        <f t="shared" si="50"/>
        <v>0</v>
      </c>
      <c r="DD45" s="25">
        <f t="shared" si="50"/>
        <v>766660</v>
      </c>
      <c r="DE45" s="25">
        <f t="shared" si="50"/>
        <v>0</v>
      </c>
      <c r="DF45" s="25"/>
      <c r="DG45" s="25">
        <f t="shared" si="51"/>
        <v>0</v>
      </c>
      <c r="DH45" s="25">
        <f t="shared" si="44"/>
        <v>0</v>
      </c>
      <c r="DI45" s="25">
        <f t="shared" si="52"/>
        <v>0</v>
      </c>
    </row>
    <row r="46" spans="1:113" ht="21.75" customHeight="1" x14ac:dyDescent="0.25">
      <c r="A46" s="193"/>
      <c r="B46" s="187"/>
      <c r="C46" s="21" t="s">
        <v>151</v>
      </c>
      <c r="D46" s="22" t="s">
        <v>152</v>
      </c>
      <c r="E46" s="23">
        <v>410</v>
      </c>
      <c r="F46" s="24" t="s">
        <v>91</v>
      </c>
      <c r="G46" s="25">
        <f t="shared" si="31"/>
        <v>20000000</v>
      </c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>
        <v>20000000</v>
      </c>
      <c r="V46" s="25"/>
      <c r="W46" s="25"/>
      <c r="X46" s="25"/>
      <c r="Y46" s="56"/>
      <c r="Z46" s="56"/>
      <c r="AB46" s="27">
        <f t="shared" si="1"/>
        <v>0.99988060000000001</v>
      </c>
      <c r="AC46" s="25">
        <f t="shared" si="32"/>
        <v>19997612</v>
      </c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>
        <f>+'[1]AGOSTO 2016'!$Y$1965</f>
        <v>19997612</v>
      </c>
      <c r="AS46" s="25"/>
      <c r="AT46" s="25"/>
      <c r="AU46" s="25"/>
      <c r="AV46" s="25"/>
      <c r="AW46" s="25"/>
      <c r="AX46" s="27">
        <f t="shared" si="3"/>
        <v>1.1939999999999173E-4</v>
      </c>
      <c r="AY46" s="25">
        <f t="shared" si="33"/>
        <v>2388</v>
      </c>
      <c r="AZ46" s="25">
        <f t="shared" si="34"/>
        <v>0</v>
      </c>
      <c r="BA46" s="25">
        <f t="shared" si="34"/>
        <v>0</v>
      </c>
      <c r="BB46" s="25">
        <f t="shared" si="34"/>
        <v>0</v>
      </c>
      <c r="BC46" s="25">
        <f t="shared" si="46"/>
        <v>0</v>
      </c>
      <c r="BD46" s="25">
        <f t="shared" si="46"/>
        <v>0</v>
      </c>
      <c r="BE46" s="25">
        <f t="shared" si="46"/>
        <v>0</v>
      </c>
      <c r="BF46" s="25">
        <f t="shared" si="46"/>
        <v>0</v>
      </c>
      <c r="BG46" s="25">
        <f t="shared" si="46"/>
        <v>0</v>
      </c>
      <c r="BH46" s="25">
        <f t="shared" si="53"/>
        <v>0</v>
      </c>
      <c r="BI46" s="25">
        <f t="shared" si="46"/>
        <v>0</v>
      </c>
      <c r="BJ46" s="25">
        <f t="shared" si="46"/>
        <v>0</v>
      </c>
      <c r="BK46" s="25">
        <f t="shared" si="46"/>
        <v>0</v>
      </c>
      <c r="BL46" s="25"/>
      <c r="BM46" s="25">
        <f t="shared" si="46"/>
        <v>2388</v>
      </c>
      <c r="BN46" s="25">
        <f t="shared" si="46"/>
        <v>0</v>
      </c>
      <c r="BO46" s="25"/>
      <c r="BP46" s="25"/>
      <c r="BQ46" s="25">
        <f t="shared" si="47"/>
        <v>0</v>
      </c>
      <c r="BR46" s="25">
        <f t="shared" si="48"/>
        <v>0</v>
      </c>
      <c r="BS46" s="27">
        <f t="shared" si="10"/>
        <v>0</v>
      </c>
      <c r="BT46" s="25">
        <f t="shared" si="37"/>
        <v>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7">
        <f t="shared" si="12"/>
        <v>1</v>
      </c>
      <c r="CP46" s="25">
        <f t="shared" si="38"/>
        <v>20000000</v>
      </c>
      <c r="CQ46" s="25">
        <f t="shared" si="39"/>
        <v>0</v>
      </c>
      <c r="CR46" s="25">
        <f t="shared" si="39"/>
        <v>0</v>
      </c>
      <c r="CS46" s="25">
        <f t="shared" si="39"/>
        <v>0</v>
      </c>
      <c r="CT46" s="25">
        <f t="shared" si="39"/>
        <v>0</v>
      </c>
      <c r="CU46" s="25">
        <f t="shared" si="39"/>
        <v>0</v>
      </c>
      <c r="CV46" s="25">
        <f t="shared" si="39"/>
        <v>0</v>
      </c>
      <c r="CW46" s="25">
        <f t="shared" si="49"/>
        <v>0</v>
      </c>
      <c r="CX46" s="25">
        <f t="shared" si="49"/>
        <v>0</v>
      </c>
      <c r="CY46" s="25">
        <f t="shared" si="49"/>
        <v>0</v>
      </c>
      <c r="CZ46" s="25">
        <f t="shared" si="49"/>
        <v>0</v>
      </c>
      <c r="DA46" s="25">
        <f t="shared" si="49"/>
        <v>0</v>
      </c>
      <c r="DB46" s="25">
        <f t="shared" si="49"/>
        <v>0</v>
      </c>
      <c r="DC46" s="25">
        <f t="shared" si="50"/>
        <v>0</v>
      </c>
      <c r="DD46" s="25">
        <f t="shared" si="50"/>
        <v>20000000</v>
      </c>
      <c r="DE46" s="25">
        <f t="shared" si="50"/>
        <v>0</v>
      </c>
      <c r="DF46" s="25"/>
      <c r="DG46" s="25">
        <f t="shared" si="51"/>
        <v>0</v>
      </c>
      <c r="DH46" s="25">
        <f t="shared" ref="DH46:DH57" si="54">Y46-CM46</f>
        <v>0</v>
      </c>
      <c r="DI46" s="25">
        <f t="shared" si="52"/>
        <v>0</v>
      </c>
    </row>
    <row r="47" spans="1:113" ht="36" customHeight="1" x14ac:dyDescent="0.25">
      <c r="A47" s="193"/>
      <c r="B47" s="188"/>
      <c r="C47" s="21" t="s">
        <v>153</v>
      </c>
      <c r="D47" s="22" t="s">
        <v>154</v>
      </c>
      <c r="E47" s="23">
        <v>410</v>
      </c>
      <c r="F47" s="24" t="s">
        <v>91</v>
      </c>
      <c r="G47" s="25">
        <f t="shared" si="31"/>
        <v>13200000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>
        <v>10000000</v>
      </c>
      <c r="V47" s="25"/>
      <c r="W47" s="25"/>
      <c r="X47" s="25"/>
      <c r="Y47" s="56"/>
      <c r="Z47" s="56">
        <f>3200000</f>
        <v>3200000</v>
      </c>
      <c r="AB47" s="27">
        <f t="shared" si="1"/>
        <v>0.24087121212121212</v>
      </c>
      <c r="AC47" s="25">
        <f t="shared" si="32"/>
        <v>3179500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>
        <f>+'[3]ABRIL 2016'!$Y$961</f>
        <v>3179500</v>
      </c>
      <c r="AS47" s="25"/>
      <c r="AT47" s="25"/>
      <c r="AU47" s="25"/>
      <c r="AV47" s="25"/>
      <c r="AW47" s="25"/>
      <c r="AX47" s="27">
        <f t="shared" si="3"/>
        <v>0.7591287878787879</v>
      </c>
      <c r="AY47" s="25">
        <f t="shared" si="33"/>
        <v>10020500</v>
      </c>
      <c r="AZ47" s="25">
        <f t="shared" si="34"/>
        <v>0</v>
      </c>
      <c r="BA47" s="25">
        <f t="shared" si="34"/>
        <v>0</v>
      </c>
      <c r="BB47" s="25">
        <f t="shared" si="34"/>
        <v>0</v>
      </c>
      <c r="BC47" s="25">
        <f t="shared" si="46"/>
        <v>0</v>
      </c>
      <c r="BD47" s="25">
        <f t="shared" si="46"/>
        <v>0</v>
      </c>
      <c r="BE47" s="25">
        <f t="shared" si="46"/>
        <v>0</v>
      </c>
      <c r="BF47" s="25">
        <f t="shared" si="46"/>
        <v>0</v>
      </c>
      <c r="BG47" s="25">
        <f t="shared" si="46"/>
        <v>0</v>
      </c>
      <c r="BH47" s="25">
        <f t="shared" si="53"/>
        <v>0</v>
      </c>
      <c r="BI47" s="25">
        <f t="shared" si="46"/>
        <v>0</v>
      </c>
      <c r="BJ47" s="25">
        <f t="shared" si="46"/>
        <v>0</v>
      </c>
      <c r="BK47" s="25">
        <f t="shared" si="46"/>
        <v>0</v>
      </c>
      <c r="BL47" s="25"/>
      <c r="BM47" s="25">
        <f t="shared" si="46"/>
        <v>6820500</v>
      </c>
      <c r="BN47" s="25">
        <f t="shared" si="46"/>
        <v>0</v>
      </c>
      <c r="BO47" s="25"/>
      <c r="BP47" s="25"/>
      <c r="BQ47" s="25">
        <f t="shared" si="47"/>
        <v>0</v>
      </c>
      <c r="BR47" s="25">
        <f t="shared" si="48"/>
        <v>3200000</v>
      </c>
      <c r="BS47" s="27">
        <f t="shared" si="10"/>
        <v>0.24087121212121212</v>
      </c>
      <c r="BT47" s="25">
        <f t="shared" si="37"/>
        <v>3179500</v>
      </c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>
        <f>+'[3]ABRIL 2016'!$H$959</f>
        <v>3179500</v>
      </c>
      <c r="CJ47" s="25"/>
      <c r="CK47" s="25"/>
      <c r="CL47" s="25"/>
      <c r="CM47" s="25"/>
      <c r="CN47" s="25"/>
      <c r="CO47" s="27">
        <f t="shared" si="12"/>
        <v>0.7591287878787879</v>
      </c>
      <c r="CP47" s="25">
        <f t="shared" si="38"/>
        <v>10020500</v>
      </c>
      <c r="CQ47" s="25">
        <f t="shared" si="39"/>
        <v>0</v>
      </c>
      <c r="CR47" s="25">
        <f t="shared" si="39"/>
        <v>0</v>
      </c>
      <c r="CS47" s="25">
        <f t="shared" si="39"/>
        <v>0</v>
      </c>
      <c r="CT47" s="25">
        <f t="shared" si="39"/>
        <v>0</v>
      </c>
      <c r="CU47" s="25">
        <f t="shared" si="39"/>
        <v>0</v>
      </c>
      <c r="CV47" s="25">
        <f t="shared" si="39"/>
        <v>0</v>
      </c>
      <c r="CW47" s="25">
        <f t="shared" si="49"/>
        <v>0</v>
      </c>
      <c r="CX47" s="25">
        <f t="shared" si="49"/>
        <v>0</v>
      </c>
      <c r="CY47" s="25">
        <f t="shared" si="49"/>
        <v>0</v>
      </c>
      <c r="CZ47" s="25">
        <f t="shared" si="49"/>
        <v>0</v>
      </c>
      <c r="DA47" s="25">
        <f t="shared" si="49"/>
        <v>0</v>
      </c>
      <c r="DB47" s="25">
        <f t="shared" si="49"/>
        <v>0</v>
      </c>
      <c r="DC47" s="25">
        <f t="shared" si="50"/>
        <v>0</v>
      </c>
      <c r="DD47" s="25">
        <f t="shared" si="50"/>
        <v>6820500</v>
      </c>
      <c r="DE47" s="25">
        <f t="shared" si="50"/>
        <v>0</v>
      </c>
      <c r="DF47" s="25"/>
      <c r="DG47" s="25">
        <f t="shared" si="51"/>
        <v>0</v>
      </c>
      <c r="DH47" s="25">
        <f t="shared" si="54"/>
        <v>0</v>
      </c>
      <c r="DI47" s="25">
        <f t="shared" si="52"/>
        <v>3200000</v>
      </c>
    </row>
    <row r="48" spans="1:113" ht="24" customHeight="1" x14ac:dyDescent="0.25">
      <c r="A48" s="193" t="s">
        <v>87</v>
      </c>
      <c r="B48" s="186" t="s">
        <v>155</v>
      </c>
      <c r="C48" s="21" t="s">
        <v>156</v>
      </c>
      <c r="D48" s="22" t="s">
        <v>157</v>
      </c>
      <c r="E48" s="23">
        <v>410</v>
      </c>
      <c r="F48" s="24" t="s">
        <v>91</v>
      </c>
      <c r="G48" s="25">
        <f t="shared" si="31"/>
        <v>374741836</v>
      </c>
      <c r="H48" s="25"/>
      <c r="I48" s="25">
        <v>270000000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6">
        <v>104741836</v>
      </c>
      <c r="Z48" s="56"/>
      <c r="AB48" s="27">
        <f t="shared" si="1"/>
        <v>1</v>
      </c>
      <c r="AC48" s="25">
        <f t="shared" si="32"/>
        <v>374741836</v>
      </c>
      <c r="AD48" s="25"/>
      <c r="AE48" s="25"/>
      <c r="AF48" s="25">
        <f>+'[4]ENERO 2016'!$M$432</f>
        <v>270000000</v>
      </c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>
        <f>+'[1]AGOSTO 2016'!$AF$1980</f>
        <v>104741836</v>
      </c>
      <c r="AW48" s="25"/>
      <c r="AX48" s="27">
        <f t="shared" si="3"/>
        <v>0</v>
      </c>
      <c r="AY48" s="25">
        <f t="shared" si="33"/>
        <v>0</v>
      </c>
      <c r="AZ48" s="25">
        <f t="shared" si="34"/>
        <v>0</v>
      </c>
      <c r="BA48" s="25">
        <f t="shared" si="34"/>
        <v>0</v>
      </c>
      <c r="BB48" s="25">
        <f t="shared" si="34"/>
        <v>0</v>
      </c>
      <c r="BC48" s="25">
        <f t="shared" si="46"/>
        <v>0</v>
      </c>
      <c r="BD48" s="25">
        <f t="shared" si="46"/>
        <v>0</v>
      </c>
      <c r="BE48" s="25">
        <f t="shared" si="46"/>
        <v>0</v>
      </c>
      <c r="BF48" s="25">
        <f t="shared" si="46"/>
        <v>0</v>
      </c>
      <c r="BG48" s="25">
        <f t="shared" si="46"/>
        <v>0</v>
      </c>
      <c r="BH48" s="25">
        <f t="shared" si="53"/>
        <v>0</v>
      </c>
      <c r="BI48" s="25">
        <f t="shared" si="46"/>
        <v>0</v>
      </c>
      <c r="BJ48" s="25">
        <f t="shared" si="46"/>
        <v>0</v>
      </c>
      <c r="BK48" s="25">
        <f t="shared" si="46"/>
        <v>0</v>
      </c>
      <c r="BL48" s="25">
        <f>+T48-AQ48</f>
        <v>0</v>
      </c>
      <c r="BM48" s="25">
        <f t="shared" si="46"/>
        <v>0</v>
      </c>
      <c r="BN48" s="25">
        <f t="shared" si="46"/>
        <v>0</v>
      </c>
      <c r="BO48" s="25"/>
      <c r="BP48" s="25"/>
      <c r="BQ48" s="25">
        <f t="shared" si="47"/>
        <v>0</v>
      </c>
      <c r="BR48" s="25">
        <f t="shared" si="48"/>
        <v>0</v>
      </c>
      <c r="BS48" s="27">
        <f t="shared" si="10"/>
        <v>0.75724210840446438</v>
      </c>
      <c r="BT48" s="25">
        <f t="shared" si="37"/>
        <v>283770298</v>
      </c>
      <c r="BU48" s="25"/>
      <c r="BV48" s="25"/>
      <c r="BW48" s="25">
        <f>+'[4]ENERO 2016'!$H$430</f>
        <v>270000000</v>
      </c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>
        <f>+'[3]ABRIL 2016'!$H$975+'[8]MAYO 2016'!$AF$1142</f>
        <v>13770298</v>
      </c>
      <c r="CN48" s="25"/>
      <c r="CO48" s="27">
        <f t="shared" si="12"/>
        <v>0.24275789159553562</v>
      </c>
      <c r="CP48" s="25">
        <f t="shared" si="38"/>
        <v>90971538</v>
      </c>
      <c r="CQ48" s="25">
        <f t="shared" si="39"/>
        <v>0</v>
      </c>
      <c r="CR48" s="25">
        <f t="shared" si="39"/>
        <v>0</v>
      </c>
      <c r="CS48" s="25">
        <f t="shared" si="39"/>
        <v>0</v>
      </c>
      <c r="CT48" s="25">
        <f t="shared" si="39"/>
        <v>0</v>
      </c>
      <c r="CU48" s="25">
        <f t="shared" si="39"/>
        <v>0</v>
      </c>
      <c r="CV48" s="25">
        <f t="shared" si="39"/>
        <v>0</v>
      </c>
      <c r="CW48" s="25">
        <f t="shared" si="49"/>
        <v>0</v>
      </c>
      <c r="CX48" s="25">
        <f t="shared" si="49"/>
        <v>0</v>
      </c>
      <c r="CY48" s="25">
        <f t="shared" si="49"/>
        <v>0</v>
      </c>
      <c r="CZ48" s="25">
        <f t="shared" ref="CZ48:DB57" si="55">Q48-CE48</f>
        <v>0</v>
      </c>
      <c r="DA48" s="25">
        <f t="shared" si="55"/>
        <v>0</v>
      </c>
      <c r="DB48" s="25">
        <f t="shared" si="55"/>
        <v>0</v>
      </c>
      <c r="DC48" s="25">
        <f t="shared" si="50"/>
        <v>0</v>
      </c>
      <c r="DD48" s="25">
        <f t="shared" si="50"/>
        <v>0</v>
      </c>
      <c r="DE48" s="25">
        <f t="shared" si="50"/>
        <v>0</v>
      </c>
      <c r="DF48" s="25"/>
      <c r="DG48" s="25">
        <f t="shared" si="51"/>
        <v>0</v>
      </c>
      <c r="DH48" s="25">
        <f t="shared" si="54"/>
        <v>90971538</v>
      </c>
      <c r="DI48" s="25">
        <f t="shared" si="52"/>
        <v>0</v>
      </c>
    </row>
    <row r="49" spans="1:114" s="59" customFormat="1" ht="23.25" customHeight="1" x14ac:dyDescent="0.25">
      <c r="A49" s="193"/>
      <c r="B49" s="188"/>
      <c r="C49" s="57" t="s">
        <v>158</v>
      </c>
      <c r="D49" s="22" t="s">
        <v>159</v>
      </c>
      <c r="E49" s="23">
        <v>410</v>
      </c>
      <c r="F49" s="24" t="s">
        <v>91</v>
      </c>
      <c r="G49" s="25">
        <f t="shared" si="31"/>
        <v>30000000</v>
      </c>
      <c r="H49" s="58"/>
      <c r="I49" s="56">
        <v>30000000</v>
      </c>
      <c r="J49" s="56"/>
      <c r="K49" s="58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B49" s="60">
        <f t="shared" si="1"/>
        <v>1</v>
      </c>
      <c r="AC49" s="25">
        <f t="shared" si="32"/>
        <v>30000000</v>
      </c>
      <c r="AD49" s="56"/>
      <c r="AE49" s="56"/>
      <c r="AF49" s="56">
        <f>+'[6]JULIO 2016'!$M$1444</f>
        <v>30000000</v>
      </c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60">
        <f t="shared" si="3"/>
        <v>0</v>
      </c>
      <c r="AY49" s="25">
        <f t="shared" si="33"/>
        <v>0</v>
      </c>
      <c r="AZ49" s="25">
        <f t="shared" si="34"/>
        <v>0</v>
      </c>
      <c r="BA49" s="25">
        <f t="shared" si="34"/>
        <v>0</v>
      </c>
      <c r="BB49" s="25">
        <f t="shared" si="34"/>
        <v>0</v>
      </c>
      <c r="BC49" s="25">
        <f t="shared" si="46"/>
        <v>0</v>
      </c>
      <c r="BD49" s="25">
        <f t="shared" si="46"/>
        <v>0</v>
      </c>
      <c r="BE49" s="25">
        <f t="shared" si="46"/>
        <v>0</v>
      </c>
      <c r="BF49" s="25">
        <f t="shared" si="46"/>
        <v>0</v>
      </c>
      <c r="BG49" s="25">
        <f t="shared" si="46"/>
        <v>0</v>
      </c>
      <c r="BH49" s="25">
        <f t="shared" si="53"/>
        <v>0</v>
      </c>
      <c r="BI49" s="25">
        <f t="shared" si="46"/>
        <v>0</v>
      </c>
      <c r="BJ49" s="25">
        <f t="shared" si="46"/>
        <v>0</v>
      </c>
      <c r="BK49" s="25">
        <f t="shared" si="46"/>
        <v>0</v>
      </c>
      <c r="BL49" s="56"/>
      <c r="BM49" s="25">
        <f t="shared" si="46"/>
        <v>0</v>
      </c>
      <c r="BN49" s="25">
        <f t="shared" si="46"/>
        <v>0</v>
      </c>
      <c r="BO49" s="25"/>
      <c r="BP49" s="56"/>
      <c r="BQ49" s="25">
        <f t="shared" si="47"/>
        <v>0</v>
      </c>
      <c r="BR49" s="56">
        <f t="shared" si="48"/>
        <v>0</v>
      </c>
      <c r="BS49" s="60">
        <f t="shared" si="10"/>
        <v>1</v>
      </c>
      <c r="BT49" s="25">
        <f t="shared" si="37"/>
        <v>30000000</v>
      </c>
      <c r="BU49" s="56"/>
      <c r="BV49" s="56"/>
      <c r="BW49" s="56">
        <f>+'[1]AGOSTO 2016'!$H$1989</f>
        <v>30000000</v>
      </c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60">
        <f t="shared" si="12"/>
        <v>0</v>
      </c>
      <c r="CP49" s="25">
        <f t="shared" si="38"/>
        <v>0</v>
      </c>
      <c r="CQ49" s="25">
        <f t="shared" si="39"/>
        <v>0</v>
      </c>
      <c r="CR49" s="25">
        <f t="shared" si="39"/>
        <v>0</v>
      </c>
      <c r="CS49" s="25">
        <f t="shared" si="39"/>
        <v>0</v>
      </c>
      <c r="CT49" s="25">
        <f t="shared" si="39"/>
        <v>0</v>
      </c>
      <c r="CU49" s="25">
        <f t="shared" si="39"/>
        <v>0</v>
      </c>
      <c r="CV49" s="25">
        <f t="shared" si="39"/>
        <v>0</v>
      </c>
      <c r="CW49" s="25">
        <f>N49-CB49</f>
        <v>0</v>
      </c>
      <c r="CX49" s="25">
        <f>O49-CC49</f>
        <v>0</v>
      </c>
      <c r="CY49" s="25">
        <f>P49-CD49</f>
        <v>0</v>
      </c>
      <c r="CZ49" s="25">
        <f t="shared" si="55"/>
        <v>0</v>
      </c>
      <c r="DA49" s="25">
        <f t="shared" si="55"/>
        <v>0</v>
      </c>
      <c r="DB49" s="25">
        <f t="shared" si="55"/>
        <v>0</v>
      </c>
      <c r="DC49" s="25">
        <f>T49-CH49</f>
        <v>0</v>
      </c>
      <c r="DD49" s="25">
        <f>U49-CI49</f>
        <v>0</v>
      </c>
      <c r="DE49" s="25">
        <f>V49-CJ49</f>
        <v>0</v>
      </c>
      <c r="DF49" s="25"/>
      <c r="DG49" s="25">
        <f>X49-CL49</f>
        <v>0</v>
      </c>
      <c r="DH49" s="25">
        <f t="shared" si="54"/>
        <v>0</v>
      </c>
      <c r="DI49" s="25">
        <f>Z49-CN49</f>
        <v>0</v>
      </c>
    </row>
    <row r="50" spans="1:114" ht="33.75" customHeight="1" x14ac:dyDescent="0.25">
      <c r="A50" s="193"/>
      <c r="B50" s="186" t="s">
        <v>160</v>
      </c>
      <c r="C50" s="21" t="s">
        <v>161</v>
      </c>
      <c r="D50" s="22" t="s">
        <v>162</v>
      </c>
      <c r="E50" s="23">
        <v>410</v>
      </c>
      <c r="F50" s="24" t="s">
        <v>91</v>
      </c>
      <c r="G50" s="25">
        <f t="shared" si="31"/>
        <v>90000000</v>
      </c>
      <c r="H50" s="49"/>
      <c r="I50" s="25">
        <f>21264791</f>
        <v>21264791</v>
      </c>
      <c r="J50" s="25"/>
      <c r="K50" s="49"/>
      <c r="L50" s="36"/>
      <c r="M50" s="36"/>
      <c r="N50" s="36"/>
      <c r="O50" s="25"/>
      <c r="P50" s="25"/>
      <c r="Q50" s="25"/>
      <c r="R50" s="25"/>
      <c r="S50" s="25"/>
      <c r="T50" s="25"/>
      <c r="U50" s="25">
        <f>90000000-21264791</f>
        <v>68735209</v>
      </c>
      <c r="V50" s="25"/>
      <c r="W50" s="25"/>
      <c r="X50" s="25"/>
      <c r="Y50" s="25"/>
      <c r="Z50" s="25"/>
      <c r="AB50" s="27">
        <f t="shared" si="1"/>
        <v>0.91622828888888885</v>
      </c>
      <c r="AC50" s="25">
        <f t="shared" si="32"/>
        <v>82460546</v>
      </c>
      <c r="AD50" s="25"/>
      <c r="AE50" s="25"/>
      <c r="AF50" s="25">
        <f>+'[1]AGOSTO 2016'!$M$2000</f>
        <v>21264791</v>
      </c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>
        <f>+'[1]AGOSTO 2016'!$Y$2000</f>
        <v>61195755</v>
      </c>
      <c r="AS50" s="25"/>
      <c r="AT50" s="25"/>
      <c r="AU50" s="25"/>
      <c r="AV50" s="25"/>
      <c r="AW50" s="25"/>
      <c r="AX50" s="27">
        <f t="shared" si="3"/>
        <v>8.3771711111111147E-2</v>
      </c>
      <c r="AY50" s="25">
        <f t="shared" si="33"/>
        <v>7539454</v>
      </c>
      <c r="AZ50" s="25">
        <f t="shared" si="34"/>
        <v>0</v>
      </c>
      <c r="BA50" s="25">
        <f t="shared" si="34"/>
        <v>0</v>
      </c>
      <c r="BB50" s="25">
        <f t="shared" si="34"/>
        <v>0</v>
      </c>
      <c r="BC50" s="25">
        <f t="shared" si="46"/>
        <v>0</v>
      </c>
      <c r="BD50" s="25">
        <f t="shared" si="46"/>
        <v>0</v>
      </c>
      <c r="BE50" s="25">
        <f t="shared" si="46"/>
        <v>0</v>
      </c>
      <c r="BF50" s="25">
        <f t="shared" si="46"/>
        <v>0</v>
      </c>
      <c r="BG50" s="25">
        <f t="shared" si="46"/>
        <v>0</v>
      </c>
      <c r="BH50" s="25">
        <f t="shared" si="53"/>
        <v>0</v>
      </c>
      <c r="BI50" s="25">
        <f t="shared" si="46"/>
        <v>0</v>
      </c>
      <c r="BJ50" s="25">
        <f t="shared" si="46"/>
        <v>0</v>
      </c>
      <c r="BK50" s="25">
        <f t="shared" si="46"/>
        <v>0</v>
      </c>
      <c r="BL50" s="25">
        <f>+T50-AQ50</f>
        <v>0</v>
      </c>
      <c r="BM50" s="25">
        <f t="shared" si="46"/>
        <v>7539454</v>
      </c>
      <c r="BN50" s="25">
        <f t="shared" si="46"/>
        <v>0</v>
      </c>
      <c r="BO50" s="25"/>
      <c r="BP50" s="25"/>
      <c r="BQ50" s="25">
        <f t="shared" si="47"/>
        <v>0</v>
      </c>
      <c r="BR50" s="25">
        <f t="shared" si="48"/>
        <v>0</v>
      </c>
      <c r="BS50" s="27">
        <f t="shared" si="10"/>
        <v>0.65731024444444441</v>
      </c>
      <c r="BT50" s="25">
        <f t="shared" si="37"/>
        <v>59157922</v>
      </c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>
        <f>+'[1]AGOSTO 2016'!$H$2001+'[1]AGOSTO 2016'!$H$2008+'[1]AGOSTO 2016'!$H$2011</f>
        <v>59157922</v>
      </c>
      <c r="CJ50" s="25"/>
      <c r="CK50" s="25"/>
      <c r="CL50" s="25"/>
      <c r="CM50" s="25"/>
      <c r="CN50" s="25"/>
      <c r="CO50" s="27">
        <f t="shared" si="12"/>
        <v>0.34268975555555559</v>
      </c>
      <c r="CP50" s="25">
        <f t="shared" si="38"/>
        <v>30842078</v>
      </c>
      <c r="CQ50" s="25">
        <f t="shared" si="39"/>
        <v>0</v>
      </c>
      <c r="CR50" s="25">
        <f t="shared" si="39"/>
        <v>21264791</v>
      </c>
      <c r="CS50" s="25">
        <f t="shared" si="39"/>
        <v>0</v>
      </c>
      <c r="CT50" s="25">
        <f t="shared" si="39"/>
        <v>0</v>
      </c>
      <c r="CU50" s="25">
        <f t="shared" si="39"/>
        <v>0</v>
      </c>
      <c r="CV50" s="25">
        <f t="shared" si="39"/>
        <v>0</v>
      </c>
      <c r="CW50" s="25">
        <f>+N50-CB50</f>
        <v>0</v>
      </c>
      <c r="CX50" s="25">
        <f>+O50-CC50</f>
        <v>0</v>
      </c>
      <c r="CY50" s="25">
        <f>+P50-CD50</f>
        <v>0</v>
      </c>
      <c r="CZ50" s="25">
        <f t="shared" si="55"/>
        <v>0</v>
      </c>
      <c r="DA50" s="25">
        <f t="shared" si="55"/>
        <v>0</v>
      </c>
      <c r="DB50" s="25">
        <f t="shared" si="55"/>
        <v>0</v>
      </c>
      <c r="DC50" s="25">
        <f>+T50-CH50</f>
        <v>0</v>
      </c>
      <c r="DD50" s="25">
        <f>+U50-CI50</f>
        <v>9577287</v>
      </c>
      <c r="DE50" s="25">
        <f>+V50-CJ50</f>
        <v>0</v>
      </c>
      <c r="DF50" s="25"/>
      <c r="DG50" s="25">
        <f>+X50-CL50</f>
        <v>0</v>
      </c>
      <c r="DH50" s="25">
        <f t="shared" si="54"/>
        <v>0</v>
      </c>
      <c r="DI50" s="25">
        <f>+Z50-CN50</f>
        <v>0</v>
      </c>
      <c r="DJ50" s="47"/>
    </row>
    <row r="51" spans="1:114" ht="21.75" customHeight="1" x14ac:dyDescent="0.25">
      <c r="A51" s="193"/>
      <c r="B51" s="188"/>
      <c r="C51" s="21" t="s">
        <v>163</v>
      </c>
      <c r="D51" s="22" t="s">
        <v>112</v>
      </c>
      <c r="E51" s="23">
        <v>410</v>
      </c>
      <c r="F51" s="24" t="s">
        <v>76</v>
      </c>
      <c r="G51" s="25">
        <f t="shared" si="31"/>
        <v>3000000</v>
      </c>
      <c r="H51" s="49"/>
      <c r="I51" s="25"/>
      <c r="J51" s="25"/>
      <c r="K51" s="49"/>
      <c r="L51" s="36"/>
      <c r="M51" s="36"/>
      <c r="N51" s="36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>
        <v>3000000</v>
      </c>
      <c r="AB51" s="27">
        <f t="shared" si="1"/>
        <v>0.60211700000000001</v>
      </c>
      <c r="AC51" s="25">
        <f t="shared" si="32"/>
        <v>1806351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>
        <f>+'[6]JULIO 2016'!$AG$1463</f>
        <v>1806351</v>
      </c>
      <c r="AX51" s="27">
        <f t="shared" si="3"/>
        <v>0.39788299999999999</v>
      </c>
      <c r="AY51" s="25">
        <f t="shared" si="33"/>
        <v>1193649</v>
      </c>
      <c r="AZ51" s="25">
        <f t="shared" si="34"/>
        <v>0</v>
      </c>
      <c r="BA51" s="25">
        <f t="shared" si="34"/>
        <v>0</v>
      </c>
      <c r="BB51" s="25">
        <f t="shared" si="34"/>
        <v>0</v>
      </c>
      <c r="BC51" s="25">
        <f t="shared" si="46"/>
        <v>0</v>
      </c>
      <c r="BD51" s="25">
        <f t="shared" si="46"/>
        <v>0</v>
      </c>
      <c r="BE51" s="25">
        <f t="shared" si="46"/>
        <v>0</v>
      </c>
      <c r="BF51" s="25">
        <f t="shared" si="46"/>
        <v>0</v>
      </c>
      <c r="BG51" s="25">
        <f t="shared" si="46"/>
        <v>0</v>
      </c>
      <c r="BH51" s="25">
        <f t="shared" si="53"/>
        <v>0</v>
      </c>
      <c r="BI51" s="25">
        <f t="shared" si="46"/>
        <v>0</v>
      </c>
      <c r="BJ51" s="25">
        <f t="shared" si="46"/>
        <v>0</v>
      </c>
      <c r="BK51" s="25">
        <f t="shared" si="46"/>
        <v>0</v>
      </c>
      <c r="BL51" s="25"/>
      <c r="BM51" s="25">
        <f t="shared" si="46"/>
        <v>0</v>
      </c>
      <c r="BN51" s="25">
        <f t="shared" si="46"/>
        <v>0</v>
      </c>
      <c r="BO51" s="25"/>
      <c r="BP51" s="25"/>
      <c r="BQ51" s="25">
        <f t="shared" si="47"/>
        <v>0</v>
      </c>
      <c r="BR51" s="25">
        <f t="shared" si="48"/>
        <v>1193649</v>
      </c>
      <c r="BS51" s="27">
        <f t="shared" si="10"/>
        <v>0.60211700000000001</v>
      </c>
      <c r="BT51" s="25">
        <f t="shared" si="37"/>
        <v>1806351</v>
      </c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>
        <f>+'[6]JULIO 2016'!$AG$1463</f>
        <v>1806351</v>
      </c>
      <c r="CO51" s="27">
        <f t="shared" si="12"/>
        <v>0.39788299999999999</v>
      </c>
      <c r="CP51" s="25">
        <f t="shared" si="38"/>
        <v>1193649</v>
      </c>
      <c r="CQ51" s="25">
        <f t="shared" si="39"/>
        <v>0</v>
      </c>
      <c r="CR51" s="25">
        <f t="shared" si="39"/>
        <v>0</v>
      </c>
      <c r="CS51" s="25">
        <f t="shared" si="39"/>
        <v>0</v>
      </c>
      <c r="CT51" s="25">
        <f t="shared" si="39"/>
        <v>0</v>
      </c>
      <c r="CU51" s="25">
        <f t="shared" si="39"/>
        <v>0</v>
      </c>
      <c r="CV51" s="25">
        <f t="shared" si="39"/>
        <v>0</v>
      </c>
      <c r="CW51" s="25">
        <f>N51-CB51</f>
        <v>0</v>
      </c>
      <c r="CX51" s="25">
        <f>O51-CC51</f>
        <v>0</v>
      </c>
      <c r="CY51" s="25">
        <f>P51-CD51</f>
        <v>0</v>
      </c>
      <c r="CZ51" s="25">
        <f t="shared" si="55"/>
        <v>0</v>
      </c>
      <c r="DA51" s="25">
        <f t="shared" si="55"/>
        <v>0</v>
      </c>
      <c r="DB51" s="25">
        <f t="shared" si="55"/>
        <v>0</v>
      </c>
      <c r="DC51" s="25">
        <f>T51-CH51</f>
        <v>0</v>
      </c>
      <c r="DD51" s="25">
        <f>U51-CI51</f>
        <v>0</v>
      </c>
      <c r="DE51" s="25">
        <f>V51-CJ51</f>
        <v>0</v>
      </c>
      <c r="DF51" s="25"/>
      <c r="DG51" s="25">
        <f>X51-CL51</f>
        <v>0</v>
      </c>
      <c r="DH51" s="25">
        <f t="shared" si="54"/>
        <v>0</v>
      </c>
      <c r="DI51" s="25">
        <f>Z51-CN51</f>
        <v>1193649</v>
      </c>
      <c r="DJ51" s="47"/>
    </row>
    <row r="52" spans="1:114" ht="51.75" customHeight="1" x14ac:dyDescent="0.25">
      <c r="A52" s="193"/>
      <c r="B52" s="186" t="s">
        <v>164</v>
      </c>
      <c r="C52" s="21" t="s">
        <v>165</v>
      </c>
      <c r="D52" s="22" t="s">
        <v>166</v>
      </c>
      <c r="E52" s="23">
        <v>410</v>
      </c>
      <c r="F52" s="24" t="s">
        <v>167</v>
      </c>
      <c r="G52" s="25">
        <f t="shared" si="31"/>
        <v>42000000</v>
      </c>
      <c r="H52" s="36"/>
      <c r="I52" s="25">
        <v>30000000</v>
      </c>
      <c r="J52" s="25"/>
      <c r="K52" s="36"/>
      <c r="L52" s="36"/>
      <c r="M52" s="36"/>
      <c r="N52" s="36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>
        <f>22000000+5000000-16000000+1000000</f>
        <v>12000000</v>
      </c>
      <c r="AB52" s="27">
        <f t="shared" si="1"/>
        <v>1</v>
      </c>
      <c r="AC52" s="25">
        <f t="shared" si="32"/>
        <v>42000000</v>
      </c>
      <c r="AD52" s="25"/>
      <c r="AE52" s="25"/>
      <c r="AF52" s="25">
        <v>30000000</v>
      </c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>
        <f>+'[1]AGOSTO 2016'!$AG$2028</f>
        <v>12000000</v>
      </c>
      <c r="AX52" s="27">
        <f t="shared" si="3"/>
        <v>0</v>
      </c>
      <c r="AY52" s="25">
        <f t="shared" si="33"/>
        <v>0</v>
      </c>
      <c r="AZ52" s="25">
        <f t="shared" si="34"/>
        <v>0</v>
      </c>
      <c r="BA52" s="25">
        <f t="shared" si="34"/>
        <v>0</v>
      </c>
      <c r="BB52" s="25">
        <f t="shared" si="34"/>
        <v>0</v>
      </c>
      <c r="BC52" s="25">
        <f t="shared" si="46"/>
        <v>0</v>
      </c>
      <c r="BD52" s="25">
        <f t="shared" si="46"/>
        <v>0</v>
      </c>
      <c r="BE52" s="25">
        <f t="shared" si="46"/>
        <v>0</v>
      </c>
      <c r="BF52" s="25">
        <f t="shared" si="46"/>
        <v>0</v>
      </c>
      <c r="BG52" s="25">
        <f t="shared" si="46"/>
        <v>0</v>
      </c>
      <c r="BH52" s="25">
        <f t="shared" si="53"/>
        <v>0</v>
      </c>
      <c r="BI52" s="25">
        <f t="shared" si="46"/>
        <v>0</v>
      </c>
      <c r="BJ52" s="25">
        <f t="shared" si="46"/>
        <v>0</v>
      </c>
      <c r="BK52" s="25">
        <f t="shared" si="46"/>
        <v>0</v>
      </c>
      <c r="BL52" s="25">
        <f t="shared" si="46"/>
        <v>0</v>
      </c>
      <c r="BM52" s="25">
        <f t="shared" si="46"/>
        <v>0</v>
      </c>
      <c r="BN52" s="25">
        <f t="shared" si="46"/>
        <v>0</v>
      </c>
      <c r="BO52" s="25"/>
      <c r="BP52" s="25"/>
      <c r="BQ52" s="25">
        <f t="shared" si="47"/>
        <v>0</v>
      </c>
      <c r="BR52" s="25">
        <f t="shared" si="48"/>
        <v>0</v>
      </c>
      <c r="BS52" s="27">
        <f t="shared" si="10"/>
        <v>0.92264933333333332</v>
      </c>
      <c r="BT52" s="25">
        <f t="shared" si="37"/>
        <v>38751272</v>
      </c>
      <c r="BU52" s="25"/>
      <c r="BV52" s="25"/>
      <c r="BW52" s="25">
        <f>+'[6]JULIO 2016'!$H$1477</f>
        <v>29751272</v>
      </c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>
        <f>+'[1]AGOSTO 2016'!$H$2026-BW52</f>
        <v>9000000</v>
      </c>
      <c r="CO52" s="27">
        <f t="shared" si="12"/>
        <v>7.7350666666666679E-2</v>
      </c>
      <c r="CP52" s="25">
        <f t="shared" si="38"/>
        <v>3248728</v>
      </c>
      <c r="CQ52" s="25">
        <f t="shared" si="39"/>
        <v>0</v>
      </c>
      <c r="CR52" s="25">
        <f t="shared" si="39"/>
        <v>248728</v>
      </c>
      <c r="CS52" s="25">
        <f t="shared" si="39"/>
        <v>0</v>
      </c>
      <c r="CT52" s="25">
        <f t="shared" si="39"/>
        <v>0</v>
      </c>
      <c r="CU52" s="25">
        <f t="shared" si="39"/>
        <v>0</v>
      </c>
      <c r="CV52" s="25">
        <f t="shared" si="39"/>
        <v>0</v>
      </c>
      <c r="CW52" s="25">
        <f t="shared" ref="CW52:CX57" si="56">+N52-CB52</f>
        <v>0</v>
      </c>
      <c r="CX52" s="25">
        <f t="shared" si="56"/>
        <v>0</v>
      </c>
      <c r="CY52" s="25">
        <f t="shared" ref="CY52:CY57" si="57">P52-CD52</f>
        <v>0</v>
      </c>
      <c r="CZ52" s="25">
        <f t="shared" si="55"/>
        <v>0</v>
      </c>
      <c r="DA52" s="25">
        <f t="shared" si="55"/>
        <v>0</v>
      </c>
      <c r="DB52" s="25">
        <f t="shared" si="55"/>
        <v>0</v>
      </c>
      <c r="DC52" s="25">
        <f t="shared" ref="DC52:DE57" si="58">+T52-CH52</f>
        <v>0</v>
      </c>
      <c r="DD52" s="25">
        <f t="shared" si="58"/>
        <v>0</v>
      </c>
      <c r="DE52" s="25">
        <f t="shared" si="58"/>
        <v>0</v>
      </c>
      <c r="DF52" s="25"/>
      <c r="DG52" s="25">
        <f t="shared" ref="DG52:DG57" si="59">+X52-CL52</f>
        <v>0</v>
      </c>
      <c r="DH52" s="25">
        <f t="shared" si="54"/>
        <v>0</v>
      </c>
      <c r="DI52" s="25">
        <f t="shared" ref="DI52:DI57" si="60">+Z52-CN52</f>
        <v>3000000</v>
      </c>
    </row>
    <row r="53" spans="1:114" ht="30" x14ac:dyDescent="0.25">
      <c r="A53" s="193"/>
      <c r="B53" s="187"/>
      <c r="C53" s="21" t="s">
        <v>168</v>
      </c>
      <c r="D53" s="22" t="s">
        <v>169</v>
      </c>
      <c r="E53" s="23">
        <v>410</v>
      </c>
      <c r="F53" s="24" t="s">
        <v>91</v>
      </c>
      <c r="G53" s="25">
        <f t="shared" si="31"/>
        <v>10000000</v>
      </c>
      <c r="H53" s="36"/>
      <c r="I53" s="25"/>
      <c r="J53" s="25"/>
      <c r="K53" s="36"/>
      <c r="L53" s="36"/>
      <c r="M53" s="36"/>
      <c r="N53" s="36"/>
      <c r="O53" s="25"/>
      <c r="P53" s="25"/>
      <c r="Q53" s="25"/>
      <c r="R53" s="25"/>
      <c r="S53" s="25"/>
      <c r="T53" s="25"/>
      <c r="U53" s="25">
        <v>10000000</v>
      </c>
      <c r="V53" s="25"/>
      <c r="W53" s="25"/>
      <c r="X53" s="25"/>
      <c r="Y53" s="25"/>
      <c r="Z53" s="25"/>
      <c r="AB53" s="27">
        <f t="shared" si="1"/>
        <v>1</v>
      </c>
      <c r="AC53" s="25">
        <f t="shared" si="32"/>
        <v>10000000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>
        <v>10000000</v>
      </c>
      <c r="AS53" s="25"/>
      <c r="AT53" s="25"/>
      <c r="AU53" s="25"/>
      <c r="AV53" s="25"/>
      <c r="AW53" s="25"/>
      <c r="AX53" s="27">
        <f t="shared" si="3"/>
        <v>0</v>
      </c>
      <c r="AY53" s="25">
        <f t="shared" si="33"/>
        <v>0</v>
      </c>
      <c r="AZ53" s="25">
        <f t="shared" si="34"/>
        <v>0</v>
      </c>
      <c r="BA53" s="25">
        <f t="shared" si="34"/>
        <v>0</v>
      </c>
      <c r="BB53" s="25">
        <f t="shared" si="34"/>
        <v>0</v>
      </c>
      <c r="BC53" s="25">
        <f t="shared" ref="BC53:BG57" si="61">+K53-AH53</f>
        <v>0</v>
      </c>
      <c r="BD53" s="25">
        <f t="shared" si="61"/>
        <v>0</v>
      </c>
      <c r="BE53" s="25">
        <f t="shared" si="61"/>
        <v>0</v>
      </c>
      <c r="BF53" s="25">
        <f t="shared" si="61"/>
        <v>0</v>
      </c>
      <c r="BG53" s="25">
        <f t="shared" si="61"/>
        <v>0</v>
      </c>
      <c r="BH53" s="25">
        <f t="shared" si="53"/>
        <v>0</v>
      </c>
      <c r="BI53" s="25">
        <f t="shared" ref="BI53:BN57" si="62">+Q53-AN53</f>
        <v>0</v>
      </c>
      <c r="BJ53" s="25">
        <f t="shared" si="62"/>
        <v>0</v>
      </c>
      <c r="BK53" s="25">
        <f t="shared" si="62"/>
        <v>0</v>
      </c>
      <c r="BL53" s="25">
        <f t="shared" si="62"/>
        <v>0</v>
      </c>
      <c r="BM53" s="25">
        <f t="shared" si="62"/>
        <v>0</v>
      </c>
      <c r="BN53" s="25">
        <f t="shared" si="62"/>
        <v>0</v>
      </c>
      <c r="BO53" s="25"/>
      <c r="BP53" s="25"/>
      <c r="BQ53" s="25">
        <f t="shared" si="47"/>
        <v>0</v>
      </c>
      <c r="BR53" s="25">
        <f t="shared" si="48"/>
        <v>0</v>
      </c>
      <c r="BS53" s="27">
        <f t="shared" si="10"/>
        <v>0.9553836</v>
      </c>
      <c r="BT53" s="25">
        <f t="shared" si="37"/>
        <v>9553836</v>
      </c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>
        <f>+'[5]FEBRERO 2016'!$H$621</f>
        <v>9553836</v>
      </c>
      <c r="CJ53" s="25"/>
      <c r="CK53" s="25"/>
      <c r="CL53" s="25"/>
      <c r="CM53" s="25"/>
      <c r="CN53" s="25"/>
      <c r="CO53" s="27">
        <f t="shared" si="12"/>
        <v>4.4616400000000001E-2</v>
      </c>
      <c r="CP53" s="25">
        <f t="shared" si="38"/>
        <v>446164</v>
      </c>
      <c r="CQ53" s="25">
        <f t="shared" si="39"/>
        <v>0</v>
      </c>
      <c r="CR53" s="25">
        <f t="shared" si="39"/>
        <v>0</v>
      </c>
      <c r="CS53" s="25">
        <f t="shared" si="39"/>
        <v>0</v>
      </c>
      <c r="CT53" s="25">
        <f t="shared" si="39"/>
        <v>0</v>
      </c>
      <c r="CU53" s="25">
        <f t="shared" si="39"/>
        <v>0</v>
      </c>
      <c r="CV53" s="25">
        <f t="shared" si="39"/>
        <v>0</v>
      </c>
      <c r="CW53" s="25">
        <f t="shared" si="56"/>
        <v>0</v>
      </c>
      <c r="CX53" s="25">
        <f t="shared" si="56"/>
        <v>0</v>
      </c>
      <c r="CY53" s="25">
        <f t="shared" si="57"/>
        <v>0</v>
      </c>
      <c r="CZ53" s="25">
        <f t="shared" si="55"/>
        <v>0</v>
      </c>
      <c r="DA53" s="25">
        <f t="shared" si="55"/>
        <v>0</v>
      </c>
      <c r="DB53" s="25">
        <f t="shared" si="55"/>
        <v>0</v>
      </c>
      <c r="DC53" s="25">
        <f t="shared" si="58"/>
        <v>0</v>
      </c>
      <c r="DD53" s="25">
        <f t="shared" si="58"/>
        <v>446164</v>
      </c>
      <c r="DE53" s="25">
        <f t="shared" si="58"/>
        <v>0</v>
      </c>
      <c r="DF53" s="25"/>
      <c r="DG53" s="25">
        <f t="shared" si="59"/>
        <v>0</v>
      </c>
      <c r="DH53" s="25">
        <f t="shared" si="54"/>
        <v>0</v>
      </c>
      <c r="DI53" s="25">
        <f t="shared" si="60"/>
        <v>0</v>
      </c>
    </row>
    <row r="54" spans="1:114" ht="31.5" customHeight="1" x14ac:dyDescent="0.25">
      <c r="A54" s="193"/>
      <c r="B54" s="187"/>
      <c r="C54" s="21" t="s">
        <v>170</v>
      </c>
      <c r="D54" s="22" t="s">
        <v>171</v>
      </c>
      <c r="E54" s="23">
        <v>410</v>
      </c>
      <c r="F54" s="24" t="s">
        <v>91</v>
      </c>
      <c r="G54" s="25">
        <f t="shared" si="31"/>
        <v>30000000</v>
      </c>
      <c r="H54" s="36"/>
      <c r="I54" s="25">
        <f>11831904</f>
        <v>11831904</v>
      </c>
      <c r="J54" s="25"/>
      <c r="K54" s="36"/>
      <c r="L54" s="36"/>
      <c r="M54" s="36"/>
      <c r="N54" s="36"/>
      <c r="O54" s="25"/>
      <c r="P54" s="25"/>
      <c r="Q54" s="25"/>
      <c r="R54" s="25"/>
      <c r="S54" s="25"/>
      <c r="T54" s="25"/>
      <c r="U54" s="25">
        <v>18168096</v>
      </c>
      <c r="V54" s="25"/>
      <c r="W54" s="25"/>
      <c r="X54" s="25"/>
      <c r="Y54" s="25"/>
      <c r="Z54" s="25"/>
      <c r="AB54" s="27">
        <f t="shared" si="1"/>
        <v>1</v>
      </c>
      <c r="AC54" s="25">
        <f t="shared" si="32"/>
        <v>30000000</v>
      </c>
      <c r="AD54" s="25"/>
      <c r="AE54" s="25"/>
      <c r="AF54" s="25">
        <f>+'[2]MARZO 2016 ULTIMO'!$M$817</f>
        <v>11831904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>
        <v>18168096</v>
      </c>
      <c r="AS54" s="25"/>
      <c r="AT54" s="25"/>
      <c r="AU54" s="25"/>
      <c r="AV54" s="25"/>
      <c r="AW54" s="25"/>
      <c r="AX54" s="27">
        <f t="shared" si="3"/>
        <v>0</v>
      </c>
      <c r="AY54" s="25">
        <f t="shared" si="33"/>
        <v>0</v>
      </c>
      <c r="AZ54" s="25">
        <f t="shared" si="34"/>
        <v>0</v>
      </c>
      <c r="BA54" s="25">
        <f t="shared" si="34"/>
        <v>0</v>
      </c>
      <c r="BB54" s="25">
        <f t="shared" si="34"/>
        <v>0</v>
      </c>
      <c r="BC54" s="25">
        <f t="shared" si="61"/>
        <v>0</v>
      </c>
      <c r="BD54" s="25">
        <f t="shared" si="61"/>
        <v>0</v>
      </c>
      <c r="BE54" s="25">
        <f t="shared" si="61"/>
        <v>0</v>
      </c>
      <c r="BF54" s="25">
        <f t="shared" si="61"/>
        <v>0</v>
      </c>
      <c r="BG54" s="25">
        <f t="shared" si="61"/>
        <v>0</v>
      </c>
      <c r="BH54" s="25">
        <f t="shared" si="53"/>
        <v>0</v>
      </c>
      <c r="BI54" s="25">
        <f t="shared" si="62"/>
        <v>0</v>
      </c>
      <c r="BJ54" s="25">
        <f t="shared" si="62"/>
        <v>0</v>
      </c>
      <c r="BK54" s="25">
        <f t="shared" si="62"/>
        <v>0</v>
      </c>
      <c r="BL54" s="25">
        <f t="shared" si="62"/>
        <v>0</v>
      </c>
      <c r="BM54" s="25">
        <f t="shared" si="62"/>
        <v>0</v>
      </c>
      <c r="BN54" s="25">
        <f t="shared" si="62"/>
        <v>0</v>
      </c>
      <c r="BO54" s="25"/>
      <c r="BP54" s="25"/>
      <c r="BQ54" s="25">
        <f t="shared" si="47"/>
        <v>0</v>
      </c>
      <c r="BR54" s="25">
        <f t="shared" si="48"/>
        <v>0</v>
      </c>
      <c r="BS54" s="27">
        <f t="shared" si="10"/>
        <v>1</v>
      </c>
      <c r="BT54" s="25">
        <f t="shared" si="37"/>
        <v>30000000</v>
      </c>
      <c r="BU54" s="25"/>
      <c r="BV54" s="25"/>
      <c r="BW54" s="25">
        <f>+'[1]AGOSTO 2016'!$M$2102</f>
        <v>11831904</v>
      </c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>
        <f>+'[5]FEBRERO 2016'!$H$635</f>
        <v>18168096</v>
      </c>
      <c r="CJ54" s="25"/>
      <c r="CK54" s="25"/>
      <c r="CL54" s="25"/>
      <c r="CM54" s="25"/>
      <c r="CN54" s="25"/>
      <c r="CO54" s="27">
        <f t="shared" si="12"/>
        <v>0</v>
      </c>
      <c r="CP54" s="25">
        <f t="shared" si="38"/>
        <v>0</v>
      </c>
      <c r="CQ54" s="25">
        <f t="shared" si="39"/>
        <v>0</v>
      </c>
      <c r="CR54" s="25">
        <f t="shared" si="39"/>
        <v>0</v>
      </c>
      <c r="CS54" s="25">
        <f t="shared" si="39"/>
        <v>0</v>
      </c>
      <c r="CT54" s="25">
        <f t="shared" si="39"/>
        <v>0</v>
      </c>
      <c r="CU54" s="25">
        <f t="shared" si="39"/>
        <v>0</v>
      </c>
      <c r="CV54" s="25">
        <f t="shared" si="39"/>
        <v>0</v>
      </c>
      <c r="CW54" s="25">
        <f t="shared" si="56"/>
        <v>0</v>
      </c>
      <c r="CX54" s="25">
        <f t="shared" si="56"/>
        <v>0</v>
      </c>
      <c r="CY54" s="25">
        <f t="shared" si="57"/>
        <v>0</v>
      </c>
      <c r="CZ54" s="25">
        <f t="shared" si="55"/>
        <v>0</v>
      </c>
      <c r="DA54" s="25">
        <f t="shared" si="55"/>
        <v>0</v>
      </c>
      <c r="DB54" s="25">
        <f t="shared" si="55"/>
        <v>0</v>
      </c>
      <c r="DC54" s="25">
        <f t="shared" si="58"/>
        <v>0</v>
      </c>
      <c r="DD54" s="25">
        <f t="shared" si="58"/>
        <v>0</v>
      </c>
      <c r="DE54" s="25">
        <f t="shared" si="58"/>
        <v>0</v>
      </c>
      <c r="DF54" s="25"/>
      <c r="DG54" s="25">
        <f t="shared" si="59"/>
        <v>0</v>
      </c>
      <c r="DH54" s="25">
        <f t="shared" si="54"/>
        <v>0</v>
      </c>
      <c r="DI54" s="25">
        <f t="shared" si="60"/>
        <v>0</v>
      </c>
    </row>
    <row r="55" spans="1:114" ht="19.5" customHeight="1" x14ac:dyDescent="0.25">
      <c r="A55" s="193"/>
      <c r="B55" s="187"/>
      <c r="C55" s="21" t="s">
        <v>172</v>
      </c>
      <c r="D55" s="22" t="s">
        <v>173</v>
      </c>
      <c r="E55" s="23">
        <v>410</v>
      </c>
      <c r="F55" s="24" t="s">
        <v>91</v>
      </c>
      <c r="G55" s="25">
        <f t="shared" si="31"/>
        <v>10000000</v>
      </c>
      <c r="H55" s="36"/>
      <c r="I55" s="36"/>
      <c r="J55" s="36"/>
      <c r="K55" s="36"/>
      <c r="L55" s="36"/>
      <c r="M55" s="36"/>
      <c r="N55" s="36"/>
      <c r="O55" s="25"/>
      <c r="P55" s="25"/>
      <c r="Q55" s="25"/>
      <c r="R55" s="25"/>
      <c r="S55" s="25"/>
      <c r="T55" s="25"/>
      <c r="U55" s="25">
        <v>10000000</v>
      </c>
      <c r="V55" s="25"/>
      <c r="W55" s="25"/>
      <c r="X55" s="25"/>
      <c r="Y55" s="25"/>
      <c r="Z55" s="25"/>
      <c r="AB55" s="27">
        <f t="shared" si="1"/>
        <v>1</v>
      </c>
      <c r="AC55" s="25">
        <f t="shared" si="32"/>
        <v>10000000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>
        <f>+'[4]ENERO 2016'!$Y$478</f>
        <v>10000000</v>
      </c>
      <c r="AS55" s="25"/>
      <c r="AT55" s="25"/>
      <c r="AU55" s="25"/>
      <c r="AV55" s="25"/>
      <c r="AW55" s="25"/>
      <c r="AX55" s="27">
        <f t="shared" si="3"/>
        <v>0</v>
      </c>
      <c r="AY55" s="25">
        <f t="shared" si="33"/>
        <v>0</v>
      </c>
      <c r="AZ55" s="25">
        <f t="shared" si="34"/>
        <v>0</v>
      </c>
      <c r="BA55" s="25">
        <f t="shared" si="34"/>
        <v>0</v>
      </c>
      <c r="BB55" s="25">
        <f t="shared" si="34"/>
        <v>0</v>
      </c>
      <c r="BC55" s="25">
        <f t="shared" si="61"/>
        <v>0</v>
      </c>
      <c r="BD55" s="25">
        <f t="shared" si="61"/>
        <v>0</v>
      </c>
      <c r="BE55" s="25">
        <f t="shared" si="61"/>
        <v>0</v>
      </c>
      <c r="BF55" s="25">
        <f t="shared" si="61"/>
        <v>0</v>
      </c>
      <c r="BG55" s="25">
        <f t="shared" si="61"/>
        <v>0</v>
      </c>
      <c r="BH55" s="25">
        <f t="shared" si="53"/>
        <v>0</v>
      </c>
      <c r="BI55" s="25">
        <f t="shared" si="62"/>
        <v>0</v>
      </c>
      <c r="BJ55" s="25">
        <f t="shared" si="62"/>
        <v>0</v>
      </c>
      <c r="BK55" s="25">
        <f t="shared" si="62"/>
        <v>0</v>
      </c>
      <c r="BL55" s="25">
        <f t="shared" si="62"/>
        <v>0</v>
      </c>
      <c r="BM55" s="25">
        <f t="shared" si="62"/>
        <v>0</v>
      </c>
      <c r="BN55" s="25">
        <f t="shared" si="62"/>
        <v>0</v>
      </c>
      <c r="BO55" s="25"/>
      <c r="BP55" s="25"/>
      <c r="BQ55" s="25">
        <f t="shared" si="47"/>
        <v>0</v>
      </c>
      <c r="BR55" s="25">
        <f t="shared" si="48"/>
        <v>0</v>
      </c>
      <c r="BS55" s="27">
        <f t="shared" si="10"/>
        <v>1</v>
      </c>
      <c r="BT55" s="25">
        <f t="shared" si="37"/>
        <v>10000000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>
        <v>10000000</v>
      </c>
      <c r="CJ55" s="25"/>
      <c r="CK55" s="25"/>
      <c r="CL55" s="25"/>
      <c r="CM55" s="25"/>
      <c r="CN55" s="25"/>
      <c r="CO55" s="27">
        <f t="shared" si="12"/>
        <v>0</v>
      </c>
      <c r="CP55" s="25">
        <f t="shared" si="38"/>
        <v>0</v>
      </c>
      <c r="CQ55" s="25">
        <f t="shared" si="39"/>
        <v>0</v>
      </c>
      <c r="CR55" s="25">
        <f t="shared" si="39"/>
        <v>0</v>
      </c>
      <c r="CS55" s="25">
        <f t="shared" si="39"/>
        <v>0</v>
      </c>
      <c r="CT55" s="25">
        <f t="shared" si="39"/>
        <v>0</v>
      </c>
      <c r="CU55" s="25">
        <f t="shared" si="39"/>
        <v>0</v>
      </c>
      <c r="CV55" s="25">
        <f t="shared" si="39"/>
        <v>0</v>
      </c>
      <c r="CW55" s="25">
        <f t="shared" si="56"/>
        <v>0</v>
      </c>
      <c r="CX55" s="25">
        <f t="shared" si="56"/>
        <v>0</v>
      </c>
      <c r="CY55" s="25">
        <f t="shared" si="57"/>
        <v>0</v>
      </c>
      <c r="CZ55" s="25">
        <f t="shared" si="55"/>
        <v>0</v>
      </c>
      <c r="DA55" s="25">
        <f t="shared" si="55"/>
        <v>0</v>
      </c>
      <c r="DB55" s="25">
        <f t="shared" si="55"/>
        <v>0</v>
      </c>
      <c r="DC55" s="25">
        <f t="shared" si="58"/>
        <v>0</v>
      </c>
      <c r="DD55" s="25">
        <f t="shared" si="58"/>
        <v>0</v>
      </c>
      <c r="DE55" s="25">
        <f t="shared" si="58"/>
        <v>0</v>
      </c>
      <c r="DF55" s="25"/>
      <c r="DG55" s="25">
        <f t="shared" si="59"/>
        <v>0</v>
      </c>
      <c r="DH55" s="25">
        <f t="shared" si="54"/>
        <v>0</v>
      </c>
      <c r="DI55" s="25">
        <f t="shared" si="60"/>
        <v>0</v>
      </c>
    </row>
    <row r="56" spans="1:114" ht="38.25" customHeight="1" x14ac:dyDescent="0.25">
      <c r="A56" s="193"/>
      <c r="B56" s="187"/>
      <c r="C56" s="21" t="s">
        <v>174</v>
      </c>
      <c r="D56" s="22" t="s">
        <v>175</v>
      </c>
      <c r="E56" s="23">
        <v>410</v>
      </c>
      <c r="F56" s="24" t="s">
        <v>91</v>
      </c>
      <c r="G56" s="25">
        <f t="shared" si="31"/>
        <v>94368590</v>
      </c>
      <c r="H56" s="36"/>
      <c r="I56" s="36"/>
      <c r="J56" s="36"/>
      <c r="K56" s="36"/>
      <c r="L56" s="36">
        <f>74368590</f>
        <v>74368590</v>
      </c>
      <c r="M56" s="36"/>
      <c r="N56" s="36"/>
      <c r="O56" s="25"/>
      <c r="P56" s="25"/>
      <c r="Q56" s="25"/>
      <c r="R56" s="25"/>
      <c r="S56" s="25"/>
      <c r="T56" s="25"/>
      <c r="U56" s="25">
        <v>20000000</v>
      </c>
      <c r="V56" s="25"/>
      <c r="W56" s="25"/>
      <c r="X56" s="25"/>
      <c r="Y56" s="25"/>
      <c r="Z56" s="25"/>
      <c r="AB56" s="27">
        <f t="shared" si="1"/>
        <v>0.64894196257462367</v>
      </c>
      <c r="AC56" s="25">
        <f t="shared" si="32"/>
        <v>61239738</v>
      </c>
      <c r="AD56" s="25"/>
      <c r="AE56" s="25"/>
      <c r="AF56" s="25"/>
      <c r="AG56" s="25"/>
      <c r="AH56" s="25"/>
      <c r="AI56" s="25">
        <f>+'[1]AGOSTO 2016'!$P$2179</f>
        <v>43061377</v>
      </c>
      <c r="AJ56" s="25"/>
      <c r="AK56" s="25"/>
      <c r="AL56" s="25"/>
      <c r="AM56" s="25"/>
      <c r="AN56" s="25"/>
      <c r="AO56" s="25"/>
      <c r="AP56" s="25"/>
      <c r="AQ56" s="25"/>
      <c r="AR56" s="25">
        <f>+'[7]JUNIO 2016'!$Y$1439</f>
        <v>18178361</v>
      </c>
      <c r="AS56" s="25"/>
      <c r="AT56" s="25"/>
      <c r="AU56" s="25"/>
      <c r="AV56" s="25"/>
      <c r="AW56" s="25"/>
      <c r="AX56" s="27">
        <f t="shared" si="3"/>
        <v>0.35105803742537633</v>
      </c>
      <c r="AY56" s="25">
        <f t="shared" si="33"/>
        <v>33128852</v>
      </c>
      <c r="AZ56" s="25">
        <f t="shared" si="34"/>
        <v>0</v>
      </c>
      <c r="BA56" s="25">
        <f t="shared" si="34"/>
        <v>0</v>
      </c>
      <c r="BB56" s="25">
        <f t="shared" si="34"/>
        <v>0</v>
      </c>
      <c r="BC56" s="25">
        <f t="shared" si="61"/>
        <v>0</v>
      </c>
      <c r="BD56" s="25">
        <f t="shared" si="61"/>
        <v>31307213</v>
      </c>
      <c r="BE56" s="25">
        <f t="shared" si="61"/>
        <v>0</v>
      </c>
      <c r="BF56" s="25">
        <f t="shared" si="61"/>
        <v>0</v>
      </c>
      <c r="BG56" s="25">
        <f t="shared" si="61"/>
        <v>0</v>
      </c>
      <c r="BH56" s="25">
        <f t="shared" si="53"/>
        <v>0</v>
      </c>
      <c r="BI56" s="25">
        <f t="shared" si="62"/>
        <v>0</v>
      </c>
      <c r="BJ56" s="25">
        <f t="shared" si="62"/>
        <v>0</v>
      </c>
      <c r="BK56" s="25">
        <f t="shared" si="62"/>
        <v>0</v>
      </c>
      <c r="BL56" s="25">
        <f t="shared" si="62"/>
        <v>0</v>
      </c>
      <c r="BM56" s="25">
        <f t="shared" si="62"/>
        <v>1821639</v>
      </c>
      <c r="BN56" s="25">
        <f t="shared" si="62"/>
        <v>0</v>
      </c>
      <c r="BO56" s="25"/>
      <c r="BP56" s="25"/>
      <c r="BQ56" s="25">
        <f t="shared" si="47"/>
        <v>0</v>
      </c>
      <c r="BR56" s="25">
        <f t="shared" si="48"/>
        <v>0</v>
      </c>
      <c r="BS56" s="27">
        <f t="shared" si="10"/>
        <v>0.52141319479288606</v>
      </c>
      <c r="BT56" s="25">
        <f t="shared" si="37"/>
        <v>49205028</v>
      </c>
      <c r="BU56" s="25"/>
      <c r="BV56" s="25"/>
      <c r="BW56" s="25"/>
      <c r="BX56" s="25"/>
      <c r="BY56" s="25"/>
      <c r="BZ56" s="25">
        <v>35500000</v>
      </c>
      <c r="CA56" s="25"/>
      <c r="CB56" s="25"/>
      <c r="CC56" s="25"/>
      <c r="CD56" s="25"/>
      <c r="CE56" s="25"/>
      <c r="CF56" s="25"/>
      <c r="CG56" s="25"/>
      <c r="CH56" s="25"/>
      <c r="CI56" s="25">
        <f>+'[1]AGOSTO 2016'!$H$2180+'[1]AGOSTO 2016'!$H$2183+'[1]AGOSTO 2016'!$H$2185+'[1]AGOSTO 2016'!$H$2187+'[1]AGOSTO 2016'!$H$2190+'[1]AGOSTO 2016'!$H$2191</f>
        <v>13705028</v>
      </c>
      <c r="CJ56" s="25"/>
      <c r="CK56" s="25"/>
      <c r="CL56" s="25"/>
      <c r="CM56" s="25"/>
      <c r="CN56" s="25"/>
      <c r="CO56" s="27">
        <f t="shared" si="12"/>
        <v>0.47858680520711394</v>
      </c>
      <c r="CP56" s="25">
        <f t="shared" si="38"/>
        <v>45163562</v>
      </c>
      <c r="CQ56" s="25">
        <f t="shared" si="39"/>
        <v>0</v>
      </c>
      <c r="CR56" s="25">
        <f t="shared" si="39"/>
        <v>0</v>
      </c>
      <c r="CS56" s="25">
        <f t="shared" si="39"/>
        <v>0</v>
      </c>
      <c r="CT56" s="25">
        <f t="shared" si="39"/>
        <v>0</v>
      </c>
      <c r="CU56" s="25">
        <f t="shared" si="39"/>
        <v>38868590</v>
      </c>
      <c r="CV56" s="25">
        <f t="shared" si="39"/>
        <v>0</v>
      </c>
      <c r="CW56" s="25">
        <f t="shared" si="56"/>
        <v>0</v>
      </c>
      <c r="CX56" s="25">
        <f t="shared" si="56"/>
        <v>0</v>
      </c>
      <c r="CY56" s="25">
        <f t="shared" si="57"/>
        <v>0</v>
      </c>
      <c r="CZ56" s="25">
        <f t="shared" si="55"/>
        <v>0</v>
      </c>
      <c r="DA56" s="25">
        <f t="shared" si="55"/>
        <v>0</v>
      </c>
      <c r="DB56" s="25">
        <f t="shared" si="55"/>
        <v>0</v>
      </c>
      <c r="DC56" s="25">
        <f t="shared" si="58"/>
        <v>0</v>
      </c>
      <c r="DD56" s="25">
        <f t="shared" si="58"/>
        <v>6294972</v>
      </c>
      <c r="DE56" s="25">
        <f t="shared" si="58"/>
        <v>0</v>
      </c>
      <c r="DF56" s="25"/>
      <c r="DG56" s="25">
        <f t="shared" si="59"/>
        <v>0</v>
      </c>
      <c r="DH56" s="25">
        <f t="shared" si="54"/>
        <v>0</v>
      </c>
      <c r="DI56" s="25">
        <f t="shared" si="60"/>
        <v>0</v>
      </c>
    </row>
    <row r="57" spans="1:114" ht="34.5" customHeight="1" x14ac:dyDescent="0.25">
      <c r="A57" s="194"/>
      <c r="B57" s="188"/>
      <c r="C57" s="21" t="s">
        <v>176</v>
      </c>
      <c r="D57" s="22" t="s">
        <v>177</v>
      </c>
      <c r="E57" s="23">
        <v>410</v>
      </c>
      <c r="F57" s="24" t="s">
        <v>91</v>
      </c>
      <c r="G57" s="25">
        <f t="shared" si="31"/>
        <v>16000000</v>
      </c>
      <c r="H57" s="36"/>
      <c r="I57" s="36"/>
      <c r="J57" s="36"/>
      <c r="K57" s="36"/>
      <c r="L57" s="36"/>
      <c r="M57" s="36"/>
      <c r="N57" s="36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>
        <f>16000000</f>
        <v>16000000</v>
      </c>
      <c r="AB57" s="27">
        <f t="shared" si="1"/>
        <v>1</v>
      </c>
      <c r="AC57" s="25">
        <f t="shared" si="32"/>
        <v>16000000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>
        <f>+'[2]MARZO 2016 ULTIMO'!$AF$846</f>
        <v>16000000</v>
      </c>
      <c r="AX57" s="27">
        <f t="shared" si="3"/>
        <v>0</v>
      </c>
      <c r="AY57" s="25">
        <f t="shared" si="33"/>
        <v>0</v>
      </c>
      <c r="AZ57" s="25">
        <f t="shared" si="34"/>
        <v>0</v>
      </c>
      <c r="BA57" s="25">
        <f t="shared" si="34"/>
        <v>0</v>
      </c>
      <c r="BB57" s="25">
        <f t="shared" si="34"/>
        <v>0</v>
      </c>
      <c r="BC57" s="25">
        <f t="shared" si="61"/>
        <v>0</v>
      </c>
      <c r="BD57" s="25">
        <f t="shared" si="61"/>
        <v>0</v>
      </c>
      <c r="BE57" s="25">
        <f t="shared" si="61"/>
        <v>0</v>
      </c>
      <c r="BF57" s="25">
        <f t="shared" si="61"/>
        <v>0</v>
      </c>
      <c r="BG57" s="25">
        <f t="shared" si="61"/>
        <v>0</v>
      </c>
      <c r="BH57" s="25">
        <f t="shared" si="53"/>
        <v>0</v>
      </c>
      <c r="BI57" s="25">
        <f t="shared" si="62"/>
        <v>0</v>
      </c>
      <c r="BJ57" s="25">
        <f t="shared" si="62"/>
        <v>0</v>
      </c>
      <c r="BK57" s="25">
        <f t="shared" si="62"/>
        <v>0</v>
      </c>
      <c r="BL57" s="25">
        <f t="shared" si="62"/>
        <v>0</v>
      </c>
      <c r="BM57" s="25">
        <f t="shared" si="62"/>
        <v>0</v>
      </c>
      <c r="BN57" s="25">
        <f t="shared" si="62"/>
        <v>0</v>
      </c>
      <c r="BO57" s="25"/>
      <c r="BP57" s="25"/>
      <c r="BQ57" s="25">
        <f t="shared" si="47"/>
        <v>0</v>
      </c>
      <c r="BR57" s="25">
        <f t="shared" si="48"/>
        <v>0</v>
      </c>
      <c r="BS57" s="27">
        <f t="shared" si="10"/>
        <v>1</v>
      </c>
      <c r="BT57" s="25">
        <f t="shared" si="37"/>
        <v>16000000</v>
      </c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>
        <f>+'[6]JULIO 2016'!$H$1616</f>
        <v>16000000</v>
      </c>
      <c r="CO57" s="27">
        <f t="shared" si="12"/>
        <v>0</v>
      </c>
      <c r="CP57" s="25">
        <f t="shared" si="38"/>
        <v>0</v>
      </c>
      <c r="CQ57" s="25">
        <f t="shared" si="39"/>
        <v>0</v>
      </c>
      <c r="CR57" s="25">
        <f t="shared" si="39"/>
        <v>0</v>
      </c>
      <c r="CS57" s="25">
        <f t="shared" si="39"/>
        <v>0</v>
      </c>
      <c r="CT57" s="25">
        <f t="shared" si="39"/>
        <v>0</v>
      </c>
      <c r="CU57" s="25">
        <f t="shared" si="39"/>
        <v>0</v>
      </c>
      <c r="CV57" s="25">
        <f t="shared" si="39"/>
        <v>0</v>
      </c>
      <c r="CW57" s="25">
        <f t="shared" si="56"/>
        <v>0</v>
      </c>
      <c r="CX57" s="25">
        <f t="shared" si="56"/>
        <v>0</v>
      </c>
      <c r="CY57" s="25">
        <f t="shared" si="57"/>
        <v>0</v>
      </c>
      <c r="CZ57" s="25">
        <f t="shared" si="55"/>
        <v>0</v>
      </c>
      <c r="DA57" s="25">
        <f t="shared" si="55"/>
        <v>0</v>
      </c>
      <c r="DB57" s="25">
        <f t="shared" si="55"/>
        <v>0</v>
      </c>
      <c r="DC57" s="25">
        <f t="shared" si="58"/>
        <v>0</v>
      </c>
      <c r="DD57" s="25">
        <f t="shared" si="58"/>
        <v>0</v>
      </c>
      <c r="DE57" s="25">
        <f t="shared" si="58"/>
        <v>0</v>
      </c>
      <c r="DF57" s="25"/>
      <c r="DG57" s="25">
        <f t="shared" si="59"/>
        <v>0</v>
      </c>
      <c r="DH57" s="25">
        <f t="shared" si="54"/>
        <v>0</v>
      </c>
      <c r="DI57" s="25">
        <f t="shared" si="60"/>
        <v>0</v>
      </c>
    </row>
    <row r="58" spans="1:114" s="47" customFormat="1" ht="18" customHeight="1" thickBot="1" x14ac:dyDescent="0.3">
      <c r="A58" s="61"/>
      <c r="B58" s="195" t="s">
        <v>178</v>
      </c>
      <c r="C58" s="195"/>
      <c r="D58" s="195"/>
      <c r="E58" s="195"/>
      <c r="F58" s="62"/>
      <c r="G58" s="63">
        <f t="shared" ref="G58:Z58" si="63">SUM(G21:G57)</f>
        <v>5225565856</v>
      </c>
      <c r="H58" s="63">
        <f t="shared" si="63"/>
        <v>0</v>
      </c>
      <c r="I58" s="63">
        <f t="shared" si="63"/>
        <v>1563096695</v>
      </c>
      <c r="J58" s="63">
        <f t="shared" si="63"/>
        <v>0</v>
      </c>
      <c r="K58" s="63">
        <f t="shared" si="63"/>
        <v>0</v>
      </c>
      <c r="L58" s="63">
        <f t="shared" si="63"/>
        <v>74368590</v>
      </c>
      <c r="M58" s="63">
        <f t="shared" si="63"/>
        <v>0</v>
      </c>
      <c r="N58" s="63">
        <f t="shared" si="63"/>
        <v>0</v>
      </c>
      <c r="O58" s="63">
        <f t="shared" si="63"/>
        <v>0</v>
      </c>
      <c r="P58" s="63">
        <f t="shared" si="63"/>
        <v>0</v>
      </c>
      <c r="Q58" s="63">
        <f t="shared" si="63"/>
        <v>0</v>
      </c>
      <c r="R58" s="63">
        <f t="shared" si="63"/>
        <v>1802332849</v>
      </c>
      <c r="S58" s="63">
        <f t="shared" si="63"/>
        <v>387696735</v>
      </c>
      <c r="T58" s="63">
        <f t="shared" si="63"/>
        <v>0</v>
      </c>
      <c r="U58" s="63">
        <f t="shared" si="63"/>
        <v>1054833768</v>
      </c>
      <c r="V58" s="63">
        <f t="shared" si="63"/>
        <v>0</v>
      </c>
      <c r="W58" s="63">
        <f t="shared" si="63"/>
        <v>51295383</v>
      </c>
      <c r="X58" s="63">
        <f t="shared" si="63"/>
        <v>0</v>
      </c>
      <c r="Y58" s="63">
        <f t="shared" si="63"/>
        <v>204741836</v>
      </c>
      <c r="Z58" s="63">
        <f t="shared" si="63"/>
        <v>87200000</v>
      </c>
      <c r="AB58" s="45">
        <f t="shared" si="1"/>
        <v>0.903539422353421</v>
      </c>
      <c r="AC58" s="63">
        <f>SUM(AC21:AC57)</f>
        <v>4721504755</v>
      </c>
      <c r="AD58" s="63"/>
      <c r="AE58" s="63">
        <f t="shared" ref="AE58:AW58" si="64">SUM(AE21:AE57)</f>
        <v>0</v>
      </c>
      <c r="AF58" s="63">
        <f t="shared" si="64"/>
        <v>1545956457</v>
      </c>
      <c r="AG58" s="63">
        <f t="shared" si="64"/>
        <v>0</v>
      </c>
      <c r="AH58" s="63">
        <f t="shared" si="64"/>
        <v>0</v>
      </c>
      <c r="AI58" s="63">
        <f t="shared" si="64"/>
        <v>43061377</v>
      </c>
      <c r="AJ58" s="63">
        <f t="shared" si="64"/>
        <v>0</v>
      </c>
      <c r="AK58" s="63">
        <f t="shared" si="64"/>
        <v>0</v>
      </c>
      <c r="AL58" s="63">
        <f t="shared" si="64"/>
        <v>0</v>
      </c>
      <c r="AM58" s="63">
        <f t="shared" si="64"/>
        <v>0</v>
      </c>
      <c r="AN58" s="63">
        <f t="shared" si="64"/>
        <v>0</v>
      </c>
      <c r="AO58" s="63">
        <f t="shared" si="64"/>
        <v>1763057320</v>
      </c>
      <c r="AP58" s="63">
        <f t="shared" si="64"/>
        <v>304609464</v>
      </c>
      <c r="AQ58" s="63">
        <f t="shared" si="64"/>
        <v>0</v>
      </c>
      <c r="AR58" s="63">
        <f t="shared" si="64"/>
        <v>832240418</v>
      </c>
      <c r="AS58" s="63">
        <f t="shared" si="64"/>
        <v>0</v>
      </c>
      <c r="AT58" s="63">
        <f t="shared" si="64"/>
        <v>51295383</v>
      </c>
      <c r="AU58" s="63">
        <f t="shared" si="64"/>
        <v>0</v>
      </c>
      <c r="AV58" s="63">
        <f t="shared" si="64"/>
        <v>114321836</v>
      </c>
      <c r="AW58" s="63">
        <f t="shared" si="64"/>
        <v>66962500</v>
      </c>
      <c r="AX58" s="45">
        <f t="shared" si="3"/>
        <v>9.6460577646579004E-2</v>
      </c>
      <c r="AY58" s="63">
        <f t="shared" ref="AY58:BR58" si="65">SUM(AY21:AY57)</f>
        <v>504061101</v>
      </c>
      <c r="AZ58" s="63">
        <f t="shared" si="65"/>
        <v>0</v>
      </c>
      <c r="BA58" s="63">
        <f t="shared" si="65"/>
        <v>17140238</v>
      </c>
      <c r="BB58" s="63">
        <f t="shared" si="65"/>
        <v>0</v>
      </c>
      <c r="BC58" s="63">
        <f t="shared" si="65"/>
        <v>0</v>
      </c>
      <c r="BD58" s="63">
        <f t="shared" si="65"/>
        <v>31307213</v>
      </c>
      <c r="BE58" s="63">
        <f t="shared" si="65"/>
        <v>0</v>
      </c>
      <c r="BF58" s="63">
        <f t="shared" si="65"/>
        <v>0</v>
      </c>
      <c r="BG58" s="63">
        <f t="shared" si="65"/>
        <v>0</v>
      </c>
      <c r="BH58" s="63">
        <f t="shared" si="65"/>
        <v>0</v>
      </c>
      <c r="BI58" s="63">
        <f t="shared" si="65"/>
        <v>0</v>
      </c>
      <c r="BJ58" s="63">
        <f t="shared" si="65"/>
        <v>39275529</v>
      </c>
      <c r="BK58" s="63">
        <f t="shared" si="65"/>
        <v>83087271</v>
      </c>
      <c r="BL58" s="63">
        <f t="shared" si="65"/>
        <v>0</v>
      </c>
      <c r="BM58" s="63">
        <f t="shared" si="65"/>
        <v>222593350</v>
      </c>
      <c r="BN58" s="63">
        <f t="shared" si="65"/>
        <v>0</v>
      </c>
      <c r="BO58" s="63">
        <f t="shared" si="65"/>
        <v>0</v>
      </c>
      <c r="BP58" s="63">
        <f t="shared" si="65"/>
        <v>0</v>
      </c>
      <c r="BQ58" s="63">
        <f t="shared" si="65"/>
        <v>90420000</v>
      </c>
      <c r="BR58" s="63">
        <f t="shared" si="65"/>
        <v>20237500</v>
      </c>
      <c r="BS58" s="45">
        <f t="shared" si="10"/>
        <v>0.58793228114662577</v>
      </c>
      <c r="BT58" s="63">
        <f t="shared" ref="BT58:DI58" si="66">SUM(BT21:BT57)</f>
        <v>3072278854</v>
      </c>
      <c r="BU58" s="63">
        <f t="shared" si="66"/>
        <v>0</v>
      </c>
      <c r="BV58" s="63">
        <f t="shared" si="66"/>
        <v>0</v>
      </c>
      <c r="BW58" s="63">
        <f t="shared" si="66"/>
        <v>824157050</v>
      </c>
      <c r="BX58" s="63">
        <f t="shared" si="66"/>
        <v>0</v>
      </c>
      <c r="BY58" s="63">
        <f t="shared" si="66"/>
        <v>0</v>
      </c>
      <c r="BZ58" s="63">
        <f t="shared" si="66"/>
        <v>35500000</v>
      </c>
      <c r="CA58" s="63">
        <f t="shared" si="66"/>
        <v>0</v>
      </c>
      <c r="CB58" s="63">
        <f t="shared" si="66"/>
        <v>0</v>
      </c>
      <c r="CC58" s="63">
        <f t="shared" si="66"/>
        <v>0</v>
      </c>
      <c r="CD58" s="63">
        <f t="shared" si="66"/>
        <v>0</v>
      </c>
      <c r="CE58" s="63">
        <f t="shared" si="66"/>
        <v>0</v>
      </c>
      <c r="CF58" s="63">
        <f t="shared" si="66"/>
        <v>1085446388</v>
      </c>
      <c r="CG58" s="63">
        <f t="shared" si="66"/>
        <v>280642464</v>
      </c>
      <c r="CH58" s="63">
        <f t="shared" si="66"/>
        <v>0</v>
      </c>
      <c r="CI58" s="63">
        <f t="shared" si="66"/>
        <v>766242889</v>
      </c>
      <c r="CJ58" s="63">
        <f t="shared" si="66"/>
        <v>0</v>
      </c>
      <c r="CK58" s="63">
        <f t="shared" si="66"/>
        <v>0</v>
      </c>
      <c r="CL58" s="63">
        <f t="shared" si="66"/>
        <v>0</v>
      </c>
      <c r="CM58" s="63">
        <f t="shared" si="66"/>
        <v>23350298</v>
      </c>
      <c r="CN58" s="63">
        <f t="shared" si="66"/>
        <v>56939765</v>
      </c>
      <c r="CO58" s="63" t="e">
        <f t="shared" si="66"/>
        <v>#DIV/0!</v>
      </c>
      <c r="CP58" s="63">
        <f t="shared" si="66"/>
        <v>2153287002</v>
      </c>
      <c r="CQ58" s="63">
        <f t="shared" si="66"/>
        <v>0</v>
      </c>
      <c r="CR58" s="63">
        <f t="shared" si="66"/>
        <v>738939645</v>
      </c>
      <c r="CS58" s="63">
        <f t="shared" si="66"/>
        <v>0</v>
      </c>
      <c r="CT58" s="63">
        <f t="shared" si="66"/>
        <v>0</v>
      </c>
      <c r="CU58" s="63">
        <f t="shared" si="66"/>
        <v>38868590</v>
      </c>
      <c r="CV58" s="63">
        <f t="shared" si="66"/>
        <v>0</v>
      </c>
      <c r="CW58" s="63">
        <f t="shared" si="66"/>
        <v>0</v>
      </c>
      <c r="CX58" s="63">
        <f t="shared" si="66"/>
        <v>0</v>
      </c>
      <c r="CY58" s="63">
        <f t="shared" si="66"/>
        <v>0</v>
      </c>
      <c r="CZ58" s="63">
        <f t="shared" si="66"/>
        <v>0</v>
      </c>
      <c r="DA58" s="63">
        <f t="shared" si="66"/>
        <v>716886461</v>
      </c>
      <c r="DB58" s="63">
        <f t="shared" si="66"/>
        <v>107054271</v>
      </c>
      <c r="DC58" s="63">
        <f t="shared" si="66"/>
        <v>0</v>
      </c>
      <c r="DD58" s="63">
        <f t="shared" si="66"/>
        <v>288590879</v>
      </c>
      <c r="DE58" s="63">
        <f t="shared" si="66"/>
        <v>0</v>
      </c>
      <c r="DF58" s="63">
        <f t="shared" si="66"/>
        <v>51295383</v>
      </c>
      <c r="DG58" s="63">
        <f t="shared" si="66"/>
        <v>0</v>
      </c>
      <c r="DH58" s="63">
        <f t="shared" si="66"/>
        <v>181391538</v>
      </c>
      <c r="DI58" s="64">
        <f t="shared" si="66"/>
        <v>30260235</v>
      </c>
    </row>
    <row r="59" spans="1:114" ht="55.5" customHeight="1" thickTop="1" x14ac:dyDescent="0.25">
      <c r="A59" s="183" t="s">
        <v>179</v>
      </c>
      <c r="B59" s="186" t="s">
        <v>180</v>
      </c>
      <c r="C59" s="21" t="s">
        <v>181</v>
      </c>
      <c r="D59" s="22" t="s">
        <v>182</v>
      </c>
      <c r="E59" s="23">
        <v>520</v>
      </c>
      <c r="F59" s="24" t="s">
        <v>183</v>
      </c>
      <c r="G59" s="25">
        <f t="shared" ref="G59:G90" si="67">SUM(H59:Z59)</f>
        <v>109184357</v>
      </c>
      <c r="H59" s="25"/>
      <c r="I59" s="25"/>
      <c r="J59" s="25"/>
      <c r="K59" s="25"/>
      <c r="L59" s="25">
        <f>50000000</f>
        <v>50000000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>
        <f>50000000+8000000+1184357</f>
        <v>59184357</v>
      </c>
      <c r="AB59" s="27">
        <f t="shared" si="1"/>
        <v>0.88827318917122899</v>
      </c>
      <c r="AC59" s="25">
        <f t="shared" ref="AC59:AC90" si="68">SUM(AD59:AW59)</f>
        <v>96985537</v>
      </c>
      <c r="AD59" s="25"/>
      <c r="AE59" s="25"/>
      <c r="AF59" s="25"/>
      <c r="AG59" s="25"/>
      <c r="AH59" s="25"/>
      <c r="AI59" s="25">
        <f>+'[1]AGOSTO 2016'!$P$2531</f>
        <v>49214507</v>
      </c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>
        <f>+'[1]AGOSTO 2016'!$AG$2531</f>
        <v>47771030</v>
      </c>
      <c r="AX59" s="27">
        <f t="shared" si="3"/>
        <v>0.11172681082877101</v>
      </c>
      <c r="AY59" s="25">
        <f t="shared" ref="AY59:AY90" si="69">SUM(AZ59:BR59)</f>
        <v>12198820</v>
      </c>
      <c r="AZ59" s="25">
        <f t="shared" ref="AZ59:BN90" si="70">H59-AE59</f>
        <v>0</v>
      </c>
      <c r="BA59" s="25">
        <f t="shared" si="70"/>
        <v>0</v>
      </c>
      <c r="BB59" s="25">
        <f t="shared" si="70"/>
        <v>0</v>
      </c>
      <c r="BC59" s="25">
        <f t="shared" ref="BC59:BN68" si="71">+K59-AH59</f>
        <v>0</v>
      </c>
      <c r="BD59" s="25">
        <f t="shared" si="71"/>
        <v>785493</v>
      </c>
      <c r="BE59" s="25">
        <f t="shared" si="71"/>
        <v>0</v>
      </c>
      <c r="BF59" s="25">
        <f t="shared" si="71"/>
        <v>0</v>
      </c>
      <c r="BG59" s="25">
        <f t="shared" si="71"/>
        <v>0</v>
      </c>
      <c r="BH59" s="25">
        <f t="shared" si="71"/>
        <v>0</v>
      </c>
      <c r="BI59" s="25">
        <f t="shared" si="71"/>
        <v>0</v>
      </c>
      <c r="BJ59" s="25">
        <f t="shared" si="71"/>
        <v>0</v>
      </c>
      <c r="BK59" s="25">
        <f t="shared" si="71"/>
        <v>0</v>
      </c>
      <c r="BL59" s="25">
        <f t="shared" si="71"/>
        <v>0</v>
      </c>
      <c r="BM59" s="25">
        <f t="shared" si="71"/>
        <v>0</v>
      </c>
      <c r="BN59" s="25">
        <f t="shared" si="71"/>
        <v>0</v>
      </c>
      <c r="BO59" s="25"/>
      <c r="BP59" s="25"/>
      <c r="BQ59" s="25">
        <f t="shared" ref="BQ59:BQ90" si="72">Y59-AV59</f>
        <v>0</v>
      </c>
      <c r="BR59" s="25">
        <f t="shared" ref="BR59:BR68" si="73">+Z59-AW59</f>
        <v>11413327</v>
      </c>
      <c r="BS59" s="27">
        <f t="shared" si="10"/>
        <v>0.88827318917122899</v>
      </c>
      <c r="BT59" s="25">
        <f t="shared" ref="BT59:BT90" si="74">SUM(BU59:CN59)</f>
        <v>96985537</v>
      </c>
      <c r="BU59" s="25"/>
      <c r="BV59" s="25"/>
      <c r="BW59" s="25"/>
      <c r="BX59" s="25"/>
      <c r="BY59" s="25"/>
      <c r="BZ59" s="25">
        <f>+'[1]AGOSTO 2016'!$P$2531</f>
        <v>49214507</v>
      </c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>
        <f>+'[1]AGOSTO 2016'!$AG$2531</f>
        <v>47771030</v>
      </c>
      <c r="CO59" s="27">
        <f t="shared" ref="CO59:CO91" si="75">1-BS59</f>
        <v>0.11172681082877101</v>
      </c>
      <c r="CP59" s="25">
        <f t="shared" ref="CP59:CP90" si="76">SUM(CQ59:DI59)</f>
        <v>12198820</v>
      </c>
      <c r="CQ59" s="25">
        <f t="shared" ref="CQ59:CY74" si="77">H59-BV59</f>
        <v>0</v>
      </c>
      <c r="CR59" s="25">
        <f t="shared" si="77"/>
        <v>0</v>
      </c>
      <c r="CS59" s="25">
        <f t="shared" si="77"/>
        <v>0</v>
      </c>
      <c r="CT59" s="25">
        <f t="shared" si="77"/>
        <v>0</v>
      </c>
      <c r="CU59" s="25">
        <f t="shared" si="77"/>
        <v>785493</v>
      </c>
      <c r="CV59" s="25">
        <f t="shared" si="77"/>
        <v>0</v>
      </c>
      <c r="CW59" s="25">
        <f t="shared" ref="CW59:CY68" si="78">+N59-CB59</f>
        <v>0</v>
      </c>
      <c r="CX59" s="25">
        <f t="shared" si="78"/>
        <v>0</v>
      </c>
      <c r="CY59" s="25">
        <f t="shared" si="78"/>
        <v>0</v>
      </c>
      <c r="CZ59" s="25">
        <f t="shared" ref="CZ59:DE89" si="79">Q59-CE59</f>
        <v>0</v>
      </c>
      <c r="DA59" s="25">
        <f t="shared" si="79"/>
        <v>0</v>
      </c>
      <c r="DB59" s="25">
        <f t="shared" si="79"/>
        <v>0</v>
      </c>
      <c r="DC59" s="25">
        <f t="shared" ref="DC59:DE68" si="80">+T59-CH59</f>
        <v>0</v>
      </c>
      <c r="DD59" s="25">
        <f t="shared" si="80"/>
        <v>0</v>
      </c>
      <c r="DE59" s="25">
        <f t="shared" si="80"/>
        <v>0</v>
      </c>
      <c r="DF59" s="25"/>
      <c r="DG59" s="25">
        <f t="shared" ref="DG59:DI68" si="81">+X59-CL59</f>
        <v>0</v>
      </c>
      <c r="DH59" s="56">
        <f t="shared" si="81"/>
        <v>0</v>
      </c>
      <c r="DI59" s="25">
        <f t="shared" si="81"/>
        <v>11413327</v>
      </c>
    </row>
    <row r="60" spans="1:114" ht="35.25" customHeight="1" x14ac:dyDescent="0.25">
      <c r="A60" s="184"/>
      <c r="B60" s="187"/>
      <c r="C60" s="21" t="s">
        <v>184</v>
      </c>
      <c r="D60" s="22" t="s">
        <v>185</v>
      </c>
      <c r="E60" s="23">
        <v>520</v>
      </c>
      <c r="F60" s="24" t="s">
        <v>186</v>
      </c>
      <c r="G60" s="25">
        <f t="shared" si="67"/>
        <v>4000000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>
        <f>2000000+2000000</f>
        <v>4000000</v>
      </c>
      <c r="AB60" s="27">
        <f t="shared" si="1"/>
        <v>0.25</v>
      </c>
      <c r="AC60" s="25">
        <f t="shared" si="68"/>
        <v>1000000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>
        <f>+'[3]ABRIL 2016'!$G$1362</f>
        <v>1000000</v>
      </c>
      <c r="AX60" s="27">
        <f t="shared" si="3"/>
        <v>0.75</v>
      </c>
      <c r="AY60" s="25">
        <f t="shared" si="69"/>
        <v>3000000</v>
      </c>
      <c r="AZ60" s="25">
        <f t="shared" si="70"/>
        <v>0</v>
      </c>
      <c r="BA60" s="25">
        <f t="shared" si="70"/>
        <v>0</v>
      </c>
      <c r="BB60" s="25">
        <f t="shared" si="70"/>
        <v>0</v>
      </c>
      <c r="BC60" s="25">
        <f t="shared" si="71"/>
        <v>0</v>
      </c>
      <c r="BD60" s="25">
        <f t="shared" si="71"/>
        <v>0</v>
      </c>
      <c r="BE60" s="25">
        <f t="shared" si="71"/>
        <v>0</v>
      </c>
      <c r="BF60" s="25">
        <f t="shared" si="71"/>
        <v>0</v>
      </c>
      <c r="BG60" s="25">
        <f t="shared" si="71"/>
        <v>0</v>
      </c>
      <c r="BH60" s="25">
        <f t="shared" si="71"/>
        <v>0</v>
      </c>
      <c r="BI60" s="25">
        <f t="shared" si="71"/>
        <v>0</v>
      </c>
      <c r="BJ60" s="25">
        <f t="shared" si="71"/>
        <v>0</v>
      </c>
      <c r="BK60" s="25">
        <f t="shared" si="71"/>
        <v>0</v>
      </c>
      <c r="BL60" s="25">
        <f t="shared" si="71"/>
        <v>0</v>
      </c>
      <c r="BM60" s="25">
        <f t="shared" si="71"/>
        <v>0</v>
      </c>
      <c r="BN60" s="25">
        <f t="shared" si="71"/>
        <v>0</v>
      </c>
      <c r="BO60" s="25"/>
      <c r="BP60" s="25"/>
      <c r="BQ60" s="25">
        <f t="shared" si="72"/>
        <v>0</v>
      </c>
      <c r="BR60" s="25">
        <f t="shared" si="73"/>
        <v>3000000</v>
      </c>
      <c r="BS60" s="27">
        <f t="shared" si="10"/>
        <v>0.25</v>
      </c>
      <c r="BT60" s="25">
        <f t="shared" si="74"/>
        <v>1000000</v>
      </c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>
        <f>+'[3]ABRIL 2016'!$H$1359</f>
        <v>1000000</v>
      </c>
      <c r="CO60" s="27">
        <f t="shared" si="75"/>
        <v>0.75</v>
      </c>
      <c r="CP60" s="25">
        <f t="shared" si="76"/>
        <v>3000000</v>
      </c>
      <c r="CQ60" s="25">
        <f t="shared" si="77"/>
        <v>0</v>
      </c>
      <c r="CR60" s="25">
        <f t="shared" si="77"/>
        <v>0</v>
      </c>
      <c r="CS60" s="25">
        <f t="shared" si="77"/>
        <v>0</v>
      </c>
      <c r="CT60" s="25">
        <f t="shared" si="77"/>
        <v>0</v>
      </c>
      <c r="CU60" s="25">
        <f t="shared" si="77"/>
        <v>0</v>
      </c>
      <c r="CV60" s="25">
        <f t="shared" si="77"/>
        <v>0</v>
      </c>
      <c r="CW60" s="25">
        <f t="shared" si="78"/>
        <v>0</v>
      </c>
      <c r="CX60" s="25">
        <f t="shared" si="78"/>
        <v>0</v>
      </c>
      <c r="CY60" s="25">
        <f t="shared" si="78"/>
        <v>0</v>
      </c>
      <c r="CZ60" s="25">
        <f t="shared" si="79"/>
        <v>0</v>
      </c>
      <c r="DA60" s="25">
        <f t="shared" si="79"/>
        <v>0</v>
      </c>
      <c r="DB60" s="25">
        <f t="shared" si="79"/>
        <v>0</v>
      </c>
      <c r="DC60" s="25">
        <f t="shared" si="80"/>
        <v>0</v>
      </c>
      <c r="DD60" s="25">
        <f t="shared" si="80"/>
        <v>0</v>
      </c>
      <c r="DE60" s="25">
        <f t="shared" si="80"/>
        <v>0</v>
      </c>
      <c r="DF60" s="25"/>
      <c r="DG60" s="25">
        <f t="shared" si="81"/>
        <v>0</v>
      </c>
      <c r="DH60" s="56">
        <f t="shared" si="81"/>
        <v>0</v>
      </c>
      <c r="DI60" s="25">
        <f t="shared" si="81"/>
        <v>3000000</v>
      </c>
    </row>
    <row r="61" spans="1:114" ht="36.75" customHeight="1" x14ac:dyDescent="0.25">
      <c r="A61" s="184"/>
      <c r="B61" s="188"/>
      <c r="C61" s="21" t="s">
        <v>187</v>
      </c>
      <c r="D61" s="22" t="s">
        <v>188</v>
      </c>
      <c r="E61" s="23">
        <v>520</v>
      </c>
      <c r="F61" s="24" t="s">
        <v>76</v>
      </c>
      <c r="G61" s="25">
        <f t="shared" si="67"/>
        <v>3000000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3000000</v>
      </c>
      <c r="AB61" s="27">
        <f t="shared" si="1"/>
        <v>1</v>
      </c>
      <c r="AC61" s="25">
        <f t="shared" si="68"/>
        <v>3000000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>
        <f>+'[7]JUNIO 2016'!$G$1784</f>
        <v>3000000</v>
      </c>
      <c r="AX61" s="27">
        <f t="shared" si="3"/>
        <v>0</v>
      </c>
      <c r="AY61" s="25">
        <f t="shared" si="69"/>
        <v>0</v>
      </c>
      <c r="AZ61" s="25">
        <f t="shared" si="70"/>
        <v>0</v>
      </c>
      <c r="BA61" s="25">
        <f t="shared" si="70"/>
        <v>0</v>
      </c>
      <c r="BB61" s="25">
        <f t="shared" si="70"/>
        <v>0</v>
      </c>
      <c r="BC61" s="25">
        <f t="shared" si="71"/>
        <v>0</v>
      </c>
      <c r="BD61" s="25">
        <f t="shared" si="71"/>
        <v>0</v>
      </c>
      <c r="BE61" s="25">
        <f t="shared" si="71"/>
        <v>0</v>
      </c>
      <c r="BF61" s="25">
        <f t="shared" si="71"/>
        <v>0</v>
      </c>
      <c r="BG61" s="25">
        <f t="shared" si="71"/>
        <v>0</v>
      </c>
      <c r="BH61" s="25">
        <f t="shared" si="71"/>
        <v>0</v>
      </c>
      <c r="BI61" s="25">
        <f t="shared" si="71"/>
        <v>0</v>
      </c>
      <c r="BJ61" s="25">
        <f t="shared" si="71"/>
        <v>0</v>
      </c>
      <c r="BK61" s="25">
        <f t="shared" si="71"/>
        <v>0</v>
      </c>
      <c r="BL61" s="25">
        <f t="shared" si="71"/>
        <v>0</v>
      </c>
      <c r="BM61" s="25">
        <f t="shared" si="71"/>
        <v>0</v>
      </c>
      <c r="BN61" s="25">
        <f t="shared" si="71"/>
        <v>0</v>
      </c>
      <c r="BO61" s="25"/>
      <c r="BP61" s="25"/>
      <c r="BQ61" s="25">
        <f t="shared" si="72"/>
        <v>0</v>
      </c>
      <c r="BR61" s="25">
        <f t="shared" si="73"/>
        <v>0</v>
      </c>
      <c r="BS61" s="27">
        <f t="shared" si="10"/>
        <v>1</v>
      </c>
      <c r="BT61" s="25">
        <f t="shared" si="74"/>
        <v>3000000</v>
      </c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>
        <f>+'[7]JUNIO 2016'!$H$1784</f>
        <v>3000000</v>
      </c>
      <c r="CO61" s="27">
        <f t="shared" si="75"/>
        <v>0</v>
      </c>
      <c r="CP61" s="25">
        <f t="shared" si="76"/>
        <v>0</v>
      </c>
      <c r="CQ61" s="25">
        <f t="shared" si="77"/>
        <v>0</v>
      </c>
      <c r="CR61" s="25">
        <f t="shared" si="77"/>
        <v>0</v>
      </c>
      <c r="CS61" s="25">
        <f t="shared" si="77"/>
        <v>0</v>
      </c>
      <c r="CT61" s="25">
        <f t="shared" si="77"/>
        <v>0</v>
      </c>
      <c r="CU61" s="25">
        <f t="shared" si="77"/>
        <v>0</v>
      </c>
      <c r="CV61" s="25">
        <f t="shared" si="77"/>
        <v>0</v>
      </c>
      <c r="CW61" s="25">
        <f t="shared" si="78"/>
        <v>0</v>
      </c>
      <c r="CX61" s="25">
        <f t="shared" si="78"/>
        <v>0</v>
      </c>
      <c r="CY61" s="25">
        <f t="shared" si="78"/>
        <v>0</v>
      </c>
      <c r="CZ61" s="25">
        <f t="shared" si="79"/>
        <v>0</v>
      </c>
      <c r="DA61" s="25">
        <f t="shared" si="79"/>
        <v>0</v>
      </c>
      <c r="DB61" s="25">
        <f t="shared" si="79"/>
        <v>0</v>
      </c>
      <c r="DC61" s="25">
        <f t="shared" si="80"/>
        <v>0</v>
      </c>
      <c r="DD61" s="25">
        <f t="shared" si="80"/>
        <v>0</v>
      </c>
      <c r="DE61" s="25">
        <f t="shared" si="80"/>
        <v>0</v>
      </c>
      <c r="DF61" s="25"/>
      <c r="DG61" s="25">
        <f t="shared" si="81"/>
        <v>0</v>
      </c>
      <c r="DH61" s="56">
        <f t="shared" si="81"/>
        <v>0</v>
      </c>
      <c r="DI61" s="25">
        <f t="shared" si="81"/>
        <v>0</v>
      </c>
    </row>
    <row r="62" spans="1:114" ht="34.5" customHeight="1" x14ac:dyDescent="0.25">
      <c r="A62" s="184"/>
      <c r="B62" s="65" t="s">
        <v>189</v>
      </c>
      <c r="C62" s="21" t="s">
        <v>190</v>
      </c>
      <c r="D62" s="22" t="s">
        <v>191</v>
      </c>
      <c r="E62" s="23">
        <v>520</v>
      </c>
      <c r="F62" s="24" t="s">
        <v>91</v>
      </c>
      <c r="G62" s="25">
        <f t="shared" si="67"/>
        <v>20000000</v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>
        <v>20000000</v>
      </c>
      <c r="T62" s="25"/>
      <c r="U62" s="25"/>
      <c r="V62" s="25"/>
      <c r="W62" s="25"/>
      <c r="X62" s="25"/>
      <c r="Y62" s="25"/>
      <c r="Z62" s="25"/>
      <c r="AB62" s="27">
        <f t="shared" si="1"/>
        <v>0.84190584999999996</v>
      </c>
      <c r="AC62" s="25">
        <f t="shared" si="68"/>
        <v>16838117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>
        <f>+'[8]MAYO 2016'!$W$1566</f>
        <v>16838117</v>
      </c>
      <c r="AQ62" s="25"/>
      <c r="AR62" s="25"/>
      <c r="AS62" s="25"/>
      <c r="AT62" s="25"/>
      <c r="AU62" s="25"/>
      <c r="AV62" s="25"/>
      <c r="AW62" s="25"/>
      <c r="AX62" s="27">
        <f t="shared" si="3"/>
        <v>0.15809415000000004</v>
      </c>
      <c r="AY62" s="25">
        <f t="shared" si="69"/>
        <v>3161883</v>
      </c>
      <c r="AZ62" s="25">
        <f t="shared" si="70"/>
        <v>0</v>
      </c>
      <c r="BA62" s="25">
        <f t="shared" si="70"/>
        <v>0</v>
      </c>
      <c r="BB62" s="25">
        <f t="shared" si="70"/>
        <v>0</v>
      </c>
      <c r="BC62" s="25">
        <f t="shared" si="71"/>
        <v>0</v>
      </c>
      <c r="BD62" s="25">
        <f t="shared" si="71"/>
        <v>0</v>
      </c>
      <c r="BE62" s="25">
        <f t="shared" si="71"/>
        <v>0</v>
      </c>
      <c r="BF62" s="25">
        <f t="shared" si="71"/>
        <v>0</v>
      </c>
      <c r="BG62" s="25">
        <f t="shared" si="71"/>
        <v>0</v>
      </c>
      <c r="BH62" s="25">
        <f t="shared" si="71"/>
        <v>0</v>
      </c>
      <c r="BI62" s="25">
        <f t="shared" si="71"/>
        <v>0</v>
      </c>
      <c r="BJ62" s="25">
        <f t="shared" si="71"/>
        <v>0</v>
      </c>
      <c r="BK62" s="25">
        <f t="shared" si="71"/>
        <v>3161883</v>
      </c>
      <c r="BL62" s="25">
        <f t="shared" si="71"/>
        <v>0</v>
      </c>
      <c r="BM62" s="25">
        <f t="shared" si="71"/>
        <v>0</v>
      </c>
      <c r="BN62" s="25">
        <f t="shared" si="71"/>
        <v>0</v>
      </c>
      <c r="BO62" s="25"/>
      <c r="BP62" s="25">
        <f>+X62-AU62</f>
        <v>0</v>
      </c>
      <c r="BQ62" s="25">
        <f t="shared" si="72"/>
        <v>0</v>
      </c>
      <c r="BR62" s="25">
        <f t="shared" si="73"/>
        <v>0</v>
      </c>
      <c r="BS62" s="27">
        <f t="shared" si="10"/>
        <v>0.8307021</v>
      </c>
      <c r="BT62" s="25">
        <f t="shared" si="74"/>
        <v>16614042</v>
      </c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>
        <f>+'[7]JUNIO 2016'!$H$1796</f>
        <v>16614042</v>
      </c>
      <c r="CH62" s="25"/>
      <c r="CI62" s="25"/>
      <c r="CJ62" s="25"/>
      <c r="CK62" s="25"/>
      <c r="CL62" s="25"/>
      <c r="CM62" s="25"/>
      <c r="CN62" s="25"/>
      <c r="CO62" s="27">
        <f t="shared" si="75"/>
        <v>0.1692979</v>
      </c>
      <c r="CP62" s="25">
        <f t="shared" si="76"/>
        <v>3385958</v>
      </c>
      <c r="CQ62" s="25">
        <f t="shared" si="77"/>
        <v>0</v>
      </c>
      <c r="CR62" s="25">
        <f t="shared" si="77"/>
        <v>0</v>
      </c>
      <c r="CS62" s="25">
        <f t="shared" si="77"/>
        <v>0</v>
      </c>
      <c r="CT62" s="25">
        <f t="shared" si="77"/>
        <v>0</v>
      </c>
      <c r="CU62" s="25">
        <f t="shared" si="77"/>
        <v>0</v>
      </c>
      <c r="CV62" s="25">
        <f t="shared" si="77"/>
        <v>0</v>
      </c>
      <c r="CW62" s="25">
        <f t="shared" si="78"/>
        <v>0</v>
      </c>
      <c r="CX62" s="25">
        <f t="shared" si="78"/>
        <v>0</v>
      </c>
      <c r="CY62" s="25">
        <f t="shared" si="78"/>
        <v>0</v>
      </c>
      <c r="CZ62" s="25">
        <f t="shared" si="79"/>
        <v>0</v>
      </c>
      <c r="DA62" s="25">
        <f t="shared" si="79"/>
        <v>0</v>
      </c>
      <c r="DB62" s="25">
        <f t="shared" si="79"/>
        <v>3385958</v>
      </c>
      <c r="DC62" s="25">
        <f t="shared" si="80"/>
        <v>0</v>
      </c>
      <c r="DD62" s="25">
        <f t="shared" si="80"/>
        <v>0</v>
      </c>
      <c r="DE62" s="25">
        <f t="shared" si="80"/>
        <v>0</v>
      </c>
      <c r="DF62" s="25"/>
      <c r="DG62" s="25">
        <f t="shared" si="81"/>
        <v>0</v>
      </c>
      <c r="DH62" s="56">
        <f t="shared" si="81"/>
        <v>0</v>
      </c>
      <c r="DI62" s="25">
        <f t="shared" si="81"/>
        <v>0</v>
      </c>
    </row>
    <row r="63" spans="1:114" ht="36.75" customHeight="1" x14ac:dyDescent="0.25">
      <c r="A63" s="184"/>
      <c r="B63" s="186" t="s">
        <v>192</v>
      </c>
      <c r="C63" s="21" t="s">
        <v>193</v>
      </c>
      <c r="D63" s="22" t="s">
        <v>194</v>
      </c>
      <c r="E63" s="23">
        <v>520</v>
      </c>
      <c r="F63" s="24" t="s">
        <v>91</v>
      </c>
      <c r="G63" s="25">
        <f t="shared" si="67"/>
        <v>115000000</v>
      </c>
      <c r="H63" s="36"/>
      <c r="I63" s="36"/>
      <c r="J63" s="36"/>
      <c r="K63" s="25">
        <f>228450721-133450721</f>
        <v>95000000</v>
      </c>
      <c r="L63" s="25"/>
      <c r="M63" s="25"/>
      <c r="N63" s="25"/>
      <c r="O63" s="25"/>
      <c r="P63" s="25"/>
      <c r="Q63" s="25"/>
      <c r="R63" s="25"/>
      <c r="S63" s="25">
        <f>20000000</f>
        <v>20000000</v>
      </c>
      <c r="T63" s="25"/>
      <c r="U63" s="25"/>
      <c r="V63" s="25"/>
      <c r="W63" s="25"/>
      <c r="X63" s="25"/>
      <c r="Y63" s="25"/>
      <c r="Z63" s="25"/>
      <c r="AB63" s="27">
        <f t="shared" si="1"/>
        <v>0.41107339130434783</v>
      </c>
      <c r="AC63" s="25">
        <f t="shared" si="68"/>
        <v>47273440</v>
      </c>
      <c r="AD63" s="25"/>
      <c r="AE63" s="25"/>
      <c r="AF63" s="25"/>
      <c r="AG63" s="25"/>
      <c r="AH63" s="25">
        <f>+'[7]JUNIO 2016'!$O$1825</f>
        <v>47273440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7">
        <f t="shared" si="3"/>
        <v>0.58892660869565217</v>
      </c>
      <c r="AY63" s="25">
        <f t="shared" si="69"/>
        <v>67726560</v>
      </c>
      <c r="AZ63" s="25">
        <f t="shared" si="70"/>
        <v>0</v>
      </c>
      <c r="BA63" s="25">
        <f t="shared" si="70"/>
        <v>0</v>
      </c>
      <c r="BB63" s="25">
        <f t="shared" si="70"/>
        <v>0</v>
      </c>
      <c r="BC63" s="25">
        <f t="shared" si="71"/>
        <v>47726560</v>
      </c>
      <c r="BD63" s="25">
        <f t="shared" si="71"/>
        <v>0</v>
      </c>
      <c r="BE63" s="25">
        <f t="shared" si="71"/>
        <v>0</v>
      </c>
      <c r="BF63" s="25">
        <f>N63-AK63</f>
        <v>0</v>
      </c>
      <c r="BG63" s="25">
        <f t="shared" si="71"/>
        <v>0</v>
      </c>
      <c r="BH63" s="25">
        <f t="shared" si="71"/>
        <v>0</v>
      </c>
      <c r="BI63" s="25">
        <f t="shared" si="71"/>
        <v>0</v>
      </c>
      <c r="BJ63" s="25">
        <f t="shared" si="71"/>
        <v>0</v>
      </c>
      <c r="BK63" s="25">
        <f t="shared" si="71"/>
        <v>20000000</v>
      </c>
      <c r="BL63" s="25">
        <f>T63-AQ63</f>
        <v>0</v>
      </c>
      <c r="BM63" s="25">
        <f t="shared" si="71"/>
        <v>0</v>
      </c>
      <c r="BN63" s="25">
        <f t="shared" si="71"/>
        <v>0</v>
      </c>
      <c r="BO63" s="25"/>
      <c r="BP63" s="25"/>
      <c r="BQ63" s="25">
        <f t="shared" si="72"/>
        <v>0</v>
      </c>
      <c r="BR63" s="25">
        <f t="shared" si="73"/>
        <v>0</v>
      </c>
      <c r="BS63" s="27">
        <f t="shared" si="10"/>
        <v>0.4082608695652174</v>
      </c>
      <c r="BT63" s="25">
        <f t="shared" si="74"/>
        <v>46950000</v>
      </c>
      <c r="BU63" s="25"/>
      <c r="BV63" s="25"/>
      <c r="BW63" s="25"/>
      <c r="BX63" s="25"/>
      <c r="BY63" s="25">
        <f>+'[6]JULIO 2016'!$H$2016</f>
        <v>46950000</v>
      </c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7">
        <f t="shared" si="75"/>
        <v>0.59173913043478255</v>
      </c>
      <c r="CP63" s="25">
        <f t="shared" si="76"/>
        <v>68050000</v>
      </c>
      <c r="CQ63" s="25">
        <f t="shared" si="77"/>
        <v>0</v>
      </c>
      <c r="CR63" s="25">
        <f t="shared" si="77"/>
        <v>0</v>
      </c>
      <c r="CS63" s="25">
        <f t="shared" si="77"/>
        <v>0</v>
      </c>
      <c r="CT63" s="25">
        <f t="shared" si="77"/>
        <v>48050000</v>
      </c>
      <c r="CU63" s="25">
        <f t="shared" si="77"/>
        <v>0</v>
      </c>
      <c r="CV63" s="25">
        <f t="shared" si="77"/>
        <v>0</v>
      </c>
      <c r="CW63" s="25">
        <f t="shared" si="78"/>
        <v>0</v>
      </c>
      <c r="CX63" s="25">
        <f t="shared" si="78"/>
        <v>0</v>
      </c>
      <c r="CY63" s="25">
        <f t="shared" si="78"/>
        <v>0</v>
      </c>
      <c r="CZ63" s="25">
        <f t="shared" si="79"/>
        <v>0</v>
      </c>
      <c r="DA63" s="25">
        <f t="shared" si="79"/>
        <v>0</v>
      </c>
      <c r="DB63" s="25">
        <f t="shared" si="79"/>
        <v>20000000</v>
      </c>
      <c r="DC63" s="25">
        <f t="shared" si="80"/>
        <v>0</v>
      </c>
      <c r="DD63" s="25">
        <f t="shared" si="80"/>
        <v>0</v>
      </c>
      <c r="DE63" s="25">
        <f t="shared" si="80"/>
        <v>0</v>
      </c>
      <c r="DF63" s="25"/>
      <c r="DG63" s="25">
        <f t="shared" si="81"/>
        <v>0</v>
      </c>
      <c r="DH63" s="56">
        <f t="shared" si="81"/>
        <v>0</v>
      </c>
      <c r="DI63" s="25">
        <f t="shared" si="81"/>
        <v>0</v>
      </c>
    </row>
    <row r="64" spans="1:114" ht="33.75" customHeight="1" x14ac:dyDescent="0.25">
      <c r="A64" s="184"/>
      <c r="B64" s="187"/>
      <c r="C64" s="21" t="s">
        <v>195</v>
      </c>
      <c r="D64" s="22" t="s">
        <v>196</v>
      </c>
      <c r="E64" s="23">
        <v>520</v>
      </c>
      <c r="F64" s="24" t="s">
        <v>91</v>
      </c>
      <c r="G64" s="25">
        <f t="shared" si="67"/>
        <v>405901442</v>
      </c>
      <c r="H64" s="49"/>
      <c r="I64" s="36"/>
      <c r="J64" s="36"/>
      <c r="K64" s="25">
        <f>28450721+133450721</f>
        <v>161901442</v>
      </c>
      <c r="L64" s="25"/>
      <c r="M64" s="25"/>
      <c r="N64" s="25"/>
      <c r="O64" s="25"/>
      <c r="P64" s="25"/>
      <c r="Q64" s="25"/>
      <c r="R64" s="25">
        <f>200000000+44000000</f>
        <v>244000000</v>
      </c>
      <c r="S64" s="25"/>
      <c r="T64" s="25"/>
      <c r="U64" s="25"/>
      <c r="V64" s="25"/>
      <c r="W64" s="25"/>
      <c r="X64" s="25"/>
      <c r="Y64" s="25"/>
      <c r="Z64" s="25"/>
      <c r="AB64" s="27">
        <f t="shared" si="1"/>
        <v>0.73653121931998455</v>
      </c>
      <c r="AC64" s="25">
        <f t="shared" si="68"/>
        <v>298959084</v>
      </c>
      <c r="AD64" s="25"/>
      <c r="AE64" s="25"/>
      <c r="AF64" s="25"/>
      <c r="AG64" s="25"/>
      <c r="AH64" s="25">
        <f>+'[1]AGOSTO 2016'!$O$2654</f>
        <v>111857093</v>
      </c>
      <c r="AI64" s="25"/>
      <c r="AJ64" s="25"/>
      <c r="AK64" s="25"/>
      <c r="AL64" s="25"/>
      <c r="AM64" s="25"/>
      <c r="AN64" s="25"/>
      <c r="AO64" s="25">
        <f>+'[1]AGOSTO 2016'!$V$2654</f>
        <v>187101991</v>
      </c>
      <c r="AP64" s="25"/>
      <c r="AQ64" s="25"/>
      <c r="AR64" s="25"/>
      <c r="AS64" s="25"/>
      <c r="AT64" s="25"/>
      <c r="AU64" s="25"/>
      <c r="AV64" s="25"/>
      <c r="AW64" s="25"/>
      <c r="AX64" s="27">
        <f t="shared" si="3"/>
        <v>0.26346878068001545</v>
      </c>
      <c r="AY64" s="25">
        <f t="shared" si="69"/>
        <v>106942358</v>
      </c>
      <c r="AZ64" s="25">
        <f t="shared" si="70"/>
        <v>0</v>
      </c>
      <c r="BA64" s="25">
        <f t="shared" si="70"/>
        <v>0</v>
      </c>
      <c r="BB64" s="25">
        <f t="shared" si="70"/>
        <v>0</v>
      </c>
      <c r="BC64" s="25">
        <f t="shared" si="71"/>
        <v>50044349</v>
      </c>
      <c r="BD64" s="25">
        <f t="shared" si="71"/>
        <v>0</v>
      </c>
      <c r="BE64" s="25">
        <f t="shared" si="71"/>
        <v>0</v>
      </c>
      <c r="BF64" s="25">
        <f>N64-AK64</f>
        <v>0</v>
      </c>
      <c r="BG64" s="25">
        <f t="shared" si="71"/>
        <v>0</v>
      </c>
      <c r="BH64" s="25">
        <f t="shared" si="71"/>
        <v>0</v>
      </c>
      <c r="BI64" s="25">
        <f t="shared" si="71"/>
        <v>0</v>
      </c>
      <c r="BJ64" s="25">
        <f t="shared" si="71"/>
        <v>56898009</v>
      </c>
      <c r="BK64" s="25">
        <f t="shared" si="71"/>
        <v>0</v>
      </c>
      <c r="BL64" s="25">
        <f>T64-AQ64</f>
        <v>0</v>
      </c>
      <c r="BM64" s="25">
        <f t="shared" si="71"/>
        <v>0</v>
      </c>
      <c r="BN64" s="25">
        <f t="shared" si="71"/>
        <v>0</v>
      </c>
      <c r="BO64" s="25"/>
      <c r="BP64" s="25"/>
      <c r="BQ64" s="25">
        <f t="shared" si="72"/>
        <v>0</v>
      </c>
      <c r="BR64" s="25">
        <f t="shared" si="73"/>
        <v>0</v>
      </c>
      <c r="BS64" s="27">
        <f t="shared" si="10"/>
        <v>0.69217745720647128</v>
      </c>
      <c r="BT64" s="25">
        <f t="shared" si="74"/>
        <v>280955828</v>
      </c>
      <c r="BU64" s="25"/>
      <c r="BV64" s="25"/>
      <c r="BW64" s="25"/>
      <c r="BX64" s="25"/>
      <c r="BY64" s="25">
        <f>'[1]AGOSTO 2016'!$H$2652-CF64</f>
        <v>95580214</v>
      </c>
      <c r="BZ64" s="25"/>
      <c r="CA64" s="25"/>
      <c r="CB64" s="25"/>
      <c r="CC64" s="25"/>
      <c r="CD64" s="25"/>
      <c r="CE64" s="25"/>
      <c r="CF64" s="25">
        <f>+'[1]AGOSTO 2016'!$H$2666+'[1]AGOSTO 2016'!$H$2677+'[1]AGOSTO 2016'!$H$2704+'[1]AGOSTO 2016'!$H$2707+'[1]AGOSTO 2016'!$H$2723+'[1]AGOSTO 2016'!$H$2724+'[1]AGOSTO 2016'!$H$2726+'[1]AGOSTO 2016'!$H$2727+'[1]AGOSTO 2016'!$H$2728+'[1]AGOSTO 2016'!$H$2736</f>
        <v>185375614</v>
      </c>
      <c r="CG64" s="25"/>
      <c r="CH64" s="25"/>
      <c r="CI64" s="25"/>
      <c r="CJ64" s="25"/>
      <c r="CK64" s="25"/>
      <c r="CL64" s="25"/>
      <c r="CM64" s="25"/>
      <c r="CN64" s="25"/>
      <c r="CO64" s="27">
        <f t="shared" si="75"/>
        <v>0.30782254279352872</v>
      </c>
      <c r="CP64" s="25">
        <f t="shared" si="76"/>
        <v>124945614</v>
      </c>
      <c r="CQ64" s="25">
        <f t="shared" si="77"/>
        <v>0</v>
      </c>
      <c r="CR64" s="25">
        <f t="shared" si="77"/>
        <v>0</v>
      </c>
      <c r="CS64" s="25">
        <f t="shared" si="77"/>
        <v>0</v>
      </c>
      <c r="CT64" s="25">
        <f t="shared" si="77"/>
        <v>66321228</v>
      </c>
      <c r="CU64" s="25">
        <f t="shared" si="77"/>
        <v>0</v>
      </c>
      <c r="CV64" s="25">
        <f t="shared" si="77"/>
        <v>0</v>
      </c>
      <c r="CW64" s="25">
        <f t="shared" si="78"/>
        <v>0</v>
      </c>
      <c r="CX64" s="25">
        <f t="shared" si="78"/>
        <v>0</v>
      </c>
      <c r="CY64" s="25">
        <f t="shared" si="78"/>
        <v>0</v>
      </c>
      <c r="CZ64" s="25">
        <f t="shared" si="79"/>
        <v>0</v>
      </c>
      <c r="DA64" s="25">
        <f t="shared" si="79"/>
        <v>58624386</v>
      </c>
      <c r="DB64" s="25">
        <f t="shared" si="79"/>
        <v>0</v>
      </c>
      <c r="DC64" s="25">
        <f t="shared" si="80"/>
        <v>0</v>
      </c>
      <c r="DD64" s="25">
        <f t="shared" si="80"/>
        <v>0</v>
      </c>
      <c r="DE64" s="25">
        <f t="shared" si="80"/>
        <v>0</v>
      </c>
      <c r="DF64" s="25"/>
      <c r="DG64" s="25">
        <f t="shared" si="81"/>
        <v>0</v>
      </c>
      <c r="DH64" s="56">
        <f t="shared" si="81"/>
        <v>0</v>
      </c>
      <c r="DI64" s="25">
        <f t="shared" si="81"/>
        <v>0</v>
      </c>
    </row>
    <row r="65" spans="1:113" ht="30.75" customHeight="1" x14ac:dyDescent="0.25">
      <c r="A65" s="184"/>
      <c r="B65" s="187"/>
      <c r="C65" s="21" t="s">
        <v>197</v>
      </c>
      <c r="D65" s="22" t="s">
        <v>198</v>
      </c>
      <c r="E65" s="23">
        <v>520</v>
      </c>
      <c r="F65" s="24" t="s">
        <v>199</v>
      </c>
      <c r="G65" s="25">
        <f t="shared" si="67"/>
        <v>11000000</v>
      </c>
      <c r="H65" s="36"/>
      <c r="I65" s="36"/>
      <c r="J65" s="36"/>
      <c r="K65" s="36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f>8000000+3000000</f>
        <v>11000000</v>
      </c>
      <c r="AB65" s="27">
        <f t="shared" si="1"/>
        <v>0.72727272727272729</v>
      </c>
      <c r="AC65" s="25">
        <f t="shared" si="68"/>
        <v>8000000</v>
      </c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>
        <f>+'[7]JUNIO 2016'!$AG$1918</f>
        <v>8000000</v>
      </c>
      <c r="AX65" s="27">
        <f t="shared" si="3"/>
        <v>0.27272727272727271</v>
      </c>
      <c r="AY65" s="25">
        <f t="shared" si="69"/>
        <v>3000000</v>
      </c>
      <c r="AZ65" s="25">
        <f t="shared" si="70"/>
        <v>0</v>
      </c>
      <c r="BA65" s="25">
        <f t="shared" si="70"/>
        <v>0</v>
      </c>
      <c r="BB65" s="25">
        <f t="shared" si="70"/>
        <v>0</v>
      </c>
      <c r="BC65" s="25">
        <f t="shared" si="71"/>
        <v>0</v>
      </c>
      <c r="BD65" s="25">
        <f t="shared" si="71"/>
        <v>0</v>
      </c>
      <c r="BE65" s="25">
        <f t="shared" si="71"/>
        <v>0</v>
      </c>
      <c r="BF65" s="25">
        <f>N65-AK65</f>
        <v>0</v>
      </c>
      <c r="BG65" s="25">
        <f t="shared" si="71"/>
        <v>0</v>
      </c>
      <c r="BH65" s="25">
        <f t="shared" si="71"/>
        <v>0</v>
      </c>
      <c r="BI65" s="25">
        <f t="shared" si="71"/>
        <v>0</v>
      </c>
      <c r="BJ65" s="25">
        <f t="shared" si="71"/>
        <v>0</v>
      </c>
      <c r="BK65" s="25">
        <f t="shared" si="71"/>
        <v>0</v>
      </c>
      <c r="BL65" s="25">
        <f>T65-AQ65</f>
        <v>0</v>
      </c>
      <c r="BM65" s="25">
        <f t="shared" si="71"/>
        <v>0</v>
      </c>
      <c r="BN65" s="25">
        <f t="shared" si="71"/>
        <v>0</v>
      </c>
      <c r="BO65" s="25"/>
      <c r="BP65" s="25"/>
      <c r="BQ65" s="25">
        <f t="shared" si="72"/>
        <v>0</v>
      </c>
      <c r="BR65" s="25">
        <f t="shared" si="73"/>
        <v>3000000</v>
      </c>
      <c r="BS65" s="27">
        <f t="shared" si="10"/>
        <v>0.46963209090909092</v>
      </c>
      <c r="BT65" s="25">
        <f t="shared" si="74"/>
        <v>5165953</v>
      </c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>
        <f>+'[7]JUNIO 2016'!$H$1916</f>
        <v>5165953</v>
      </c>
      <c r="CO65" s="27">
        <f t="shared" si="75"/>
        <v>0.53036790909090903</v>
      </c>
      <c r="CP65" s="25">
        <f t="shared" si="76"/>
        <v>5834047</v>
      </c>
      <c r="CQ65" s="25">
        <f t="shared" si="77"/>
        <v>0</v>
      </c>
      <c r="CR65" s="25">
        <f t="shared" si="77"/>
        <v>0</v>
      </c>
      <c r="CS65" s="25">
        <f t="shared" si="77"/>
        <v>0</v>
      </c>
      <c r="CT65" s="25">
        <f t="shared" si="77"/>
        <v>0</v>
      </c>
      <c r="CU65" s="25">
        <f t="shared" si="77"/>
        <v>0</v>
      </c>
      <c r="CV65" s="25">
        <f t="shared" si="77"/>
        <v>0</v>
      </c>
      <c r="CW65" s="25">
        <f t="shared" si="78"/>
        <v>0</v>
      </c>
      <c r="CX65" s="25">
        <f t="shared" si="78"/>
        <v>0</v>
      </c>
      <c r="CY65" s="25">
        <f t="shared" si="78"/>
        <v>0</v>
      </c>
      <c r="CZ65" s="25">
        <f t="shared" si="79"/>
        <v>0</v>
      </c>
      <c r="DA65" s="25">
        <f t="shared" si="79"/>
        <v>0</v>
      </c>
      <c r="DB65" s="25">
        <f t="shared" si="79"/>
        <v>0</v>
      </c>
      <c r="DC65" s="25">
        <f t="shared" si="80"/>
        <v>0</v>
      </c>
      <c r="DD65" s="25">
        <f t="shared" si="80"/>
        <v>0</v>
      </c>
      <c r="DE65" s="25">
        <f t="shared" si="80"/>
        <v>0</v>
      </c>
      <c r="DF65" s="25"/>
      <c r="DG65" s="25">
        <f t="shared" si="81"/>
        <v>0</v>
      </c>
      <c r="DH65" s="56">
        <f t="shared" si="81"/>
        <v>0</v>
      </c>
      <c r="DI65" s="25">
        <f t="shared" si="81"/>
        <v>5834047</v>
      </c>
    </row>
    <row r="66" spans="1:113" ht="34.5" customHeight="1" x14ac:dyDescent="0.25">
      <c r="A66" s="184"/>
      <c r="B66" s="187"/>
      <c r="C66" s="21" t="s">
        <v>200</v>
      </c>
      <c r="D66" s="22" t="s">
        <v>201</v>
      </c>
      <c r="E66" s="23">
        <v>520</v>
      </c>
      <c r="F66" s="24" t="s">
        <v>202</v>
      </c>
      <c r="G66" s="25">
        <f t="shared" si="67"/>
        <v>5000000</v>
      </c>
      <c r="H66" s="36"/>
      <c r="I66" s="36"/>
      <c r="J66" s="36"/>
      <c r="K66" s="36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>
        <v>5000000</v>
      </c>
      <c r="AB66" s="27">
        <f t="shared" si="1"/>
        <v>1</v>
      </c>
      <c r="AC66" s="25">
        <f t="shared" si="68"/>
        <v>5000000</v>
      </c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>
        <f>+'[8]MAYO 2016'!$AG$1678</f>
        <v>5000000</v>
      </c>
      <c r="AX66" s="27">
        <f t="shared" si="3"/>
        <v>0</v>
      </c>
      <c r="AY66" s="25">
        <f t="shared" si="69"/>
        <v>0</v>
      </c>
      <c r="AZ66" s="25">
        <f t="shared" si="70"/>
        <v>0</v>
      </c>
      <c r="BA66" s="25">
        <f t="shared" si="70"/>
        <v>0</v>
      </c>
      <c r="BB66" s="25">
        <f t="shared" si="70"/>
        <v>0</v>
      </c>
      <c r="BC66" s="25">
        <f t="shared" si="71"/>
        <v>0</v>
      </c>
      <c r="BD66" s="25">
        <f t="shared" si="71"/>
        <v>0</v>
      </c>
      <c r="BE66" s="25">
        <f t="shared" si="71"/>
        <v>0</v>
      </c>
      <c r="BF66" s="25">
        <f>N66-AK66</f>
        <v>0</v>
      </c>
      <c r="BG66" s="25">
        <f t="shared" si="71"/>
        <v>0</v>
      </c>
      <c r="BH66" s="25">
        <f t="shared" si="71"/>
        <v>0</v>
      </c>
      <c r="BI66" s="25">
        <f t="shared" si="71"/>
        <v>0</v>
      </c>
      <c r="BJ66" s="25">
        <f t="shared" si="71"/>
        <v>0</v>
      </c>
      <c r="BK66" s="25">
        <f t="shared" si="71"/>
        <v>0</v>
      </c>
      <c r="BL66" s="25">
        <f>T66-AQ66</f>
        <v>0</v>
      </c>
      <c r="BM66" s="25">
        <f t="shared" si="71"/>
        <v>0</v>
      </c>
      <c r="BN66" s="25">
        <f t="shared" si="71"/>
        <v>0</v>
      </c>
      <c r="BO66" s="25"/>
      <c r="BP66" s="25"/>
      <c r="BQ66" s="25">
        <f t="shared" si="72"/>
        <v>0</v>
      </c>
      <c r="BR66" s="25">
        <f t="shared" si="73"/>
        <v>0</v>
      </c>
      <c r="BS66" s="27">
        <f t="shared" si="10"/>
        <v>0.99863999999999997</v>
      </c>
      <c r="BT66" s="25">
        <f t="shared" si="74"/>
        <v>4993200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>
        <f>+'[8]MAYO 2016'!$H$1676</f>
        <v>4993200</v>
      </c>
      <c r="CO66" s="27">
        <f t="shared" si="75"/>
        <v>1.3600000000000279E-3</v>
      </c>
      <c r="CP66" s="25">
        <f t="shared" si="76"/>
        <v>6800</v>
      </c>
      <c r="CQ66" s="25">
        <f t="shared" si="77"/>
        <v>0</v>
      </c>
      <c r="CR66" s="25">
        <f t="shared" si="77"/>
        <v>0</v>
      </c>
      <c r="CS66" s="25">
        <f t="shared" si="77"/>
        <v>0</v>
      </c>
      <c r="CT66" s="25">
        <f t="shared" si="77"/>
        <v>0</v>
      </c>
      <c r="CU66" s="25">
        <f t="shared" si="77"/>
        <v>0</v>
      </c>
      <c r="CV66" s="25">
        <f t="shared" si="77"/>
        <v>0</v>
      </c>
      <c r="CW66" s="25">
        <f t="shared" si="78"/>
        <v>0</v>
      </c>
      <c r="CX66" s="25">
        <f t="shared" si="78"/>
        <v>0</v>
      </c>
      <c r="CY66" s="25">
        <f t="shared" si="78"/>
        <v>0</v>
      </c>
      <c r="CZ66" s="25">
        <f t="shared" si="79"/>
        <v>0</v>
      </c>
      <c r="DA66" s="25">
        <f t="shared" si="79"/>
        <v>0</v>
      </c>
      <c r="DB66" s="25">
        <f t="shared" si="79"/>
        <v>0</v>
      </c>
      <c r="DC66" s="25">
        <f t="shared" si="80"/>
        <v>0</v>
      </c>
      <c r="DD66" s="25">
        <f t="shared" si="80"/>
        <v>0</v>
      </c>
      <c r="DE66" s="25">
        <f t="shared" si="80"/>
        <v>0</v>
      </c>
      <c r="DF66" s="25"/>
      <c r="DG66" s="25">
        <f t="shared" si="81"/>
        <v>0</v>
      </c>
      <c r="DH66" s="56">
        <f t="shared" si="81"/>
        <v>0</v>
      </c>
      <c r="DI66" s="25">
        <f t="shared" si="81"/>
        <v>6800</v>
      </c>
    </row>
    <row r="67" spans="1:113" ht="35.25" customHeight="1" x14ac:dyDescent="0.25">
      <c r="A67" s="184"/>
      <c r="B67" s="187"/>
      <c r="C67" s="21" t="s">
        <v>203</v>
      </c>
      <c r="D67" s="22" t="s">
        <v>204</v>
      </c>
      <c r="E67" s="23">
        <v>520</v>
      </c>
      <c r="F67" s="24" t="s">
        <v>202</v>
      </c>
      <c r="G67" s="25">
        <f t="shared" si="67"/>
        <v>0</v>
      </c>
      <c r="H67" s="36"/>
      <c r="I67" s="36"/>
      <c r="J67" s="36"/>
      <c r="K67" s="36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>
        <f>7000000-7000000</f>
        <v>0</v>
      </c>
      <c r="AA67" s="59"/>
      <c r="AB67" s="27" t="e">
        <f t="shared" si="1"/>
        <v>#DIV/0!</v>
      </c>
      <c r="AC67" s="25">
        <f t="shared" si="68"/>
        <v>0</v>
      </c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7" t="e">
        <f t="shared" si="3"/>
        <v>#DIV/0!</v>
      </c>
      <c r="AY67" s="25">
        <f t="shared" si="69"/>
        <v>0</v>
      </c>
      <c r="AZ67" s="25">
        <f t="shared" si="70"/>
        <v>0</v>
      </c>
      <c r="BA67" s="25">
        <f t="shared" si="70"/>
        <v>0</v>
      </c>
      <c r="BB67" s="25">
        <f t="shared" si="70"/>
        <v>0</v>
      </c>
      <c r="BC67" s="25">
        <f t="shared" si="71"/>
        <v>0</v>
      </c>
      <c r="BD67" s="25">
        <f t="shared" si="71"/>
        <v>0</v>
      </c>
      <c r="BE67" s="25">
        <f t="shared" si="71"/>
        <v>0</v>
      </c>
      <c r="BF67" s="25">
        <f>+N67-AK67</f>
        <v>0</v>
      </c>
      <c r="BG67" s="25">
        <f t="shared" si="71"/>
        <v>0</v>
      </c>
      <c r="BH67" s="25">
        <f t="shared" si="71"/>
        <v>0</v>
      </c>
      <c r="BI67" s="25">
        <f t="shared" si="71"/>
        <v>0</v>
      </c>
      <c r="BJ67" s="25">
        <f t="shared" si="71"/>
        <v>0</v>
      </c>
      <c r="BK67" s="25">
        <f t="shared" si="71"/>
        <v>0</v>
      </c>
      <c r="BL67" s="25">
        <f>+T67-AQ67</f>
        <v>0</v>
      </c>
      <c r="BM67" s="25">
        <f t="shared" si="71"/>
        <v>0</v>
      </c>
      <c r="BN67" s="25">
        <f t="shared" si="71"/>
        <v>0</v>
      </c>
      <c r="BO67" s="25"/>
      <c r="BP67" s="25">
        <f>+X67-AU67</f>
        <v>0</v>
      </c>
      <c r="BQ67" s="25">
        <f t="shared" si="72"/>
        <v>0</v>
      </c>
      <c r="BR67" s="25">
        <f t="shared" si="73"/>
        <v>0</v>
      </c>
      <c r="BS67" s="27" t="e">
        <f t="shared" si="10"/>
        <v>#DIV/0!</v>
      </c>
      <c r="BT67" s="25">
        <f t="shared" si="74"/>
        <v>0</v>
      </c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7" t="e">
        <f t="shared" si="75"/>
        <v>#DIV/0!</v>
      </c>
      <c r="CP67" s="25">
        <f t="shared" si="76"/>
        <v>0</v>
      </c>
      <c r="CQ67" s="25">
        <f t="shared" si="77"/>
        <v>0</v>
      </c>
      <c r="CR67" s="25">
        <f t="shared" si="77"/>
        <v>0</v>
      </c>
      <c r="CS67" s="25">
        <f t="shared" si="77"/>
        <v>0</v>
      </c>
      <c r="CT67" s="25">
        <f t="shared" si="77"/>
        <v>0</v>
      </c>
      <c r="CU67" s="25">
        <f t="shared" si="77"/>
        <v>0</v>
      </c>
      <c r="CV67" s="25">
        <f t="shared" si="77"/>
        <v>0</v>
      </c>
      <c r="CW67" s="25">
        <f t="shared" si="78"/>
        <v>0</v>
      </c>
      <c r="CX67" s="25">
        <f t="shared" si="78"/>
        <v>0</v>
      </c>
      <c r="CY67" s="25">
        <f t="shared" si="78"/>
        <v>0</v>
      </c>
      <c r="CZ67" s="25">
        <f t="shared" si="79"/>
        <v>0</v>
      </c>
      <c r="DA67" s="25">
        <f t="shared" si="79"/>
        <v>0</v>
      </c>
      <c r="DB67" s="25">
        <f t="shared" si="79"/>
        <v>0</v>
      </c>
      <c r="DC67" s="25">
        <f t="shared" si="80"/>
        <v>0</v>
      </c>
      <c r="DD67" s="25">
        <f t="shared" si="80"/>
        <v>0</v>
      </c>
      <c r="DE67" s="25">
        <f t="shared" si="80"/>
        <v>0</v>
      </c>
      <c r="DF67" s="25"/>
      <c r="DG67" s="25">
        <f t="shared" si="81"/>
        <v>0</v>
      </c>
      <c r="DH67" s="56">
        <f t="shared" si="81"/>
        <v>0</v>
      </c>
      <c r="DI67" s="25">
        <f t="shared" si="81"/>
        <v>0</v>
      </c>
    </row>
    <row r="68" spans="1:113" ht="76.5" customHeight="1" x14ac:dyDescent="0.25">
      <c r="A68" s="184"/>
      <c r="B68" s="187"/>
      <c r="C68" s="21" t="s">
        <v>205</v>
      </c>
      <c r="D68" s="22" t="s">
        <v>206</v>
      </c>
      <c r="E68" s="23">
        <v>520</v>
      </c>
      <c r="F68" s="24" t="s">
        <v>207</v>
      </c>
      <c r="G68" s="25">
        <f t="shared" si="67"/>
        <v>401355998</v>
      </c>
      <c r="H68" s="36"/>
      <c r="I68" s="36"/>
      <c r="J68" s="36"/>
      <c r="K68" s="36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>
        <f>267022558+25000000+11804220+35899362+2954659+41266345-11804220+4000000+896074+17250000+7067000</f>
        <v>401355998</v>
      </c>
      <c r="AA68" s="59"/>
      <c r="AB68" s="27">
        <f t="shared" ref="AB68:AB91" si="82">+AC68/G68</f>
        <v>0.97525749197848044</v>
      </c>
      <c r="AC68" s="25">
        <f t="shared" si="68"/>
        <v>391425444</v>
      </c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>
        <f>+'[1]AGOSTO 2016'!$G$2792</f>
        <v>391425444</v>
      </c>
      <c r="AX68" s="27">
        <f t="shared" ref="AX68:AX91" si="83">1-AB68</f>
        <v>2.474250802151956E-2</v>
      </c>
      <c r="AY68" s="25">
        <f t="shared" si="69"/>
        <v>9930554</v>
      </c>
      <c r="AZ68" s="25">
        <f t="shared" si="70"/>
        <v>0</v>
      </c>
      <c r="BA68" s="25">
        <f t="shared" si="70"/>
        <v>0</v>
      </c>
      <c r="BB68" s="25">
        <f t="shared" si="70"/>
        <v>0</v>
      </c>
      <c r="BC68" s="25">
        <f t="shared" si="71"/>
        <v>0</v>
      </c>
      <c r="BD68" s="25">
        <f t="shared" si="71"/>
        <v>0</v>
      </c>
      <c r="BE68" s="25">
        <f t="shared" si="71"/>
        <v>0</v>
      </c>
      <c r="BF68" s="25">
        <f>+N68-AK68</f>
        <v>0</v>
      </c>
      <c r="BG68" s="25">
        <f t="shared" si="71"/>
        <v>0</v>
      </c>
      <c r="BH68" s="25">
        <f t="shared" si="71"/>
        <v>0</v>
      </c>
      <c r="BI68" s="25">
        <f t="shared" si="71"/>
        <v>0</v>
      </c>
      <c r="BJ68" s="25">
        <f t="shared" si="71"/>
        <v>0</v>
      </c>
      <c r="BK68" s="25">
        <f t="shared" si="71"/>
        <v>0</v>
      </c>
      <c r="BL68" s="25">
        <f>+T68-AQ68</f>
        <v>0</v>
      </c>
      <c r="BM68" s="25">
        <f t="shared" si="71"/>
        <v>0</v>
      </c>
      <c r="BN68" s="25">
        <f t="shared" si="71"/>
        <v>0</v>
      </c>
      <c r="BO68" s="25"/>
      <c r="BP68" s="25"/>
      <c r="BQ68" s="25">
        <f t="shared" si="72"/>
        <v>0</v>
      </c>
      <c r="BR68" s="25">
        <f t="shared" si="73"/>
        <v>9930554</v>
      </c>
      <c r="BS68" s="27">
        <f t="shared" ref="BS68:BS91" si="84">+BT68/G68</f>
        <v>0.95542125173372894</v>
      </c>
      <c r="BT68" s="25">
        <f t="shared" si="74"/>
        <v>383464050</v>
      </c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>
        <f>+'[1]AGOSTO 2016'!$H$2792</f>
        <v>383464050</v>
      </c>
      <c r="CO68" s="27">
        <f t="shared" si="75"/>
        <v>4.4578748266271062E-2</v>
      </c>
      <c r="CP68" s="25">
        <f t="shared" si="76"/>
        <v>17891948</v>
      </c>
      <c r="CQ68" s="25">
        <f t="shared" si="77"/>
        <v>0</v>
      </c>
      <c r="CR68" s="25">
        <f t="shared" si="77"/>
        <v>0</v>
      </c>
      <c r="CS68" s="25">
        <f t="shared" si="77"/>
        <v>0</v>
      </c>
      <c r="CT68" s="25">
        <f t="shared" si="77"/>
        <v>0</v>
      </c>
      <c r="CU68" s="25">
        <f t="shared" si="77"/>
        <v>0</v>
      </c>
      <c r="CV68" s="25">
        <f t="shared" si="77"/>
        <v>0</v>
      </c>
      <c r="CW68" s="25">
        <f t="shared" si="78"/>
        <v>0</v>
      </c>
      <c r="CX68" s="25">
        <f t="shared" si="78"/>
        <v>0</v>
      </c>
      <c r="CY68" s="25">
        <f t="shared" si="78"/>
        <v>0</v>
      </c>
      <c r="CZ68" s="25">
        <f t="shared" si="79"/>
        <v>0</v>
      </c>
      <c r="DA68" s="25">
        <f t="shared" si="79"/>
        <v>0</v>
      </c>
      <c r="DB68" s="25">
        <f t="shared" si="79"/>
        <v>0</v>
      </c>
      <c r="DC68" s="25">
        <f t="shared" si="80"/>
        <v>0</v>
      </c>
      <c r="DD68" s="25">
        <f t="shared" si="80"/>
        <v>0</v>
      </c>
      <c r="DE68" s="25">
        <f t="shared" si="80"/>
        <v>0</v>
      </c>
      <c r="DF68" s="25"/>
      <c r="DG68" s="25">
        <f t="shared" si="81"/>
        <v>0</v>
      </c>
      <c r="DH68" s="56">
        <f t="shared" si="81"/>
        <v>0</v>
      </c>
      <c r="DI68" s="25">
        <f t="shared" si="81"/>
        <v>17891948</v>
      </c>
    </row>
    <row r="69" spans="1:113" ht="36" customHeight="1" x14ac:dyDescent="0.25">
      <c r="A69" s="184"/>
      <c r="B69" s="187"/>
      <c r="C69" s="21" t="s">
        <v>208</v>
      </c>
      <c r="D69" s="22" t="s">
        <v>209</v>
      </c>
      <c r="E69" s="23">
        <v>520</v>
      </c>
      <c r="F69" s="24" t="s">
        <v>91</v>
      </c>
      <c r="G69" s="25">
        <f t="shared" si="67"/>
        <v>20000000</v>
      </c>
      <c r="H69" s="36"/>
      <c r="I69" s="36"/>
      <c r="J69" s="36"/>
      <c r="K69" s="25">
        <v>20000000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59"/>
      <c r="AB69" s="27">
        <f t="shared" si="82"/>
        <v>0</v>
      </c>
      <c r="AC69" s="25">
        <f t="shared" si="68"/>
        <v>0</v>
      </c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7">
        <f t="shared" si="83"/>
        <v>1</v>
      </c>
      <c r="AY69" s="25">
        <f t="shared" si="69"/>
        <v>20000000</v>
      </c>
      <c r="AZ69" s="25">
        <f t="shared" si="70"/>
        <v>0</v>
      </c>
      <c r="BA69" s="25">
        <f t="shared" si="70"/>
        <v>0</v>
      </c>
      <c r="BB69" s="25">
        <f t="shared" si="70"/>
        <v>0</v>
      </c>
      <c r="BC69" s="25">
        <f t="shared" si="70"/>
        <v>20000000</v>
      </c>
      <c r="BD69" s="25">
        <f t="shared" si="70"/>
        <v>0</v>
      </c>
      <c r="BE69" s="25">
        <f t="shared" si="70"/>
        <v>0</v>
      </c>
      <c r="BF69" s="25">
        <f t="shared" si="70"/>
        <v>0</v>
      </c>
      <c r="BG69" s="25">
        <f t="shared" si="70"/>
        <v>0</v>
      </c>
      <c r="BH69" s="25">
        <f t="shared" si="70"/>
        <v>0</v>
      </c>
      <c r="BI69" s="25">
        <f t="shared" si="70"/>
        <v>0</v>
      </c>
      <c r="BJ69" s="25">
        <f t="shared" si="70"/>
        <v>0</v>
      </c>
      <c r="BK69" s="25">
        <f t="shared" si="70"/>
        <v>0</v>
      </c>
      <c r="BL69" s="25">
        <f t="shared" si="70"/>
        <v>0</v>
      </c>
      <c r="BM69" s="25">
        <f t="shared" si="70"/>
        <v>0</v>
      </c>
      <c r="BN69" s="25">
        <f t="shared" si="70"/>
        <v>0</v>
      </c>
      <c r="BO69" s="25"/>
      <c r="BP69" s="25">
        <f>X69-AU69</f>
        <v>0</v>
      </c>
      <c r="BQ69" s="25">
        <f t="shared" si="72"/>
        <v>0</v>
      </c>
      <c r="BR69" s="25">
        <f>Z69-AW69</f>
        <v>0</v>
      </c>
      <c r="BS69" s="27">
        <f t="shared" si="84"/>
        <v>0</v>
      </c>
      <c r="BT69" s="25">
        <f t="shared" si="74"/>
        <v>0</v>
      </c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7">
        <f t="shared" si="75"/>
        <v>1</v>
      </c>
      <c r="CP69" s="25">
        <f t="shared" si="76"/>
        <v>20000000</v>
      </c>
      <c r="CQ69" s="25">
        <f t="shared" si="77"/>
        <v>0</v>
      </c>
      <c r="CR69" s="25">
        <f t="shared" si="77"/>
        <v>0</v>
      </c>
      <c r="CS69" s="25">
        <f t="shared" si="77"/>
        <v>0</v>
      </c>
      <c r="CT69" s="25">
        <f t="shared" si="77"/>
        <v>20000000</v>
      </c>
      <c r="CU69" s="25">
        <f t="shared" si="77"/>
        <v>0</v>
      </c>
      <c r="CV69" s="25">
        <f t="shared" si="77"/>
        <v>0</v>
      </c>
      <c r="CW69" s="25">
        <f t="shared" si="77"/>
        <v>0</v>
      </c>
      <c r="CX69" s="25">
        <f t="shared" si="77"/>
        <v>0</v>
      </c>
      <c r="CY69" s="25">
        <f t="shared" si="77"/>
        <v>0</v>
      </c>
      <c r="CZ69" s="25">
        <f t="shared" si="79"/>
        <v>0</v>
      </c>
      <c r="DA69" s="25">
        <f t="shared" si="79"/>
        <v>0</v>
      </c>
      <c r="DB69" s="25">
        <f t="shared" si="79"/>
        <v>0</v>
      </c>
      <c r="DC69" s="25">
        <f t="shared" si="79"/>
        <v>0</v>
      </c>
      <c r="DD69" s="25">
        <f t="shared" si="79"/>
        <v>0</v>
      </c>
      <c r="DE69" s="25">
        <f t="shared" si="79"/>
        <v>0</v>
      </c>
      <c r="DF69" s="25"/>
      <c r="DG69" s="25">
        <f t="shared" ref="DG69:DI70" si="85">X69-CL69</f>
        <v>0</v>
      </c>
      <c r="DH69" s="25">
        <f t="shared" si="85"/>
        <v>0</v>
      </c>
      <c r="DI69" s="25">
        <f t="shared" si="85"/>
        <v>0</v>
      </c>
    </row>
    <row r="70" spans="1:113" ht="34.5" customHeight="1" x14ac:dyDescent="0.25">
      <c r="A70" s="185"/>
      <c r="B70" s="188"/>
      <c r="C70" s="21" t="s">
        <v>210</v>
      </c>
      <c r="D70" s="22" t="s">
        <v>211</v>
      </c>
      <c r="E70" s="23">
        <v>520</v>
      </c>
      <c r="F70" s="24" t="s">
        <v>91</v>
      </c>
      <c r="G70" s="25">
        <f t="shared" si="67"/>
        <v>20000000</v>
      </c>
      <c r="H70" s="36"/>
      <c r="I70" s="36"/>
      <c r="J70" s="36"/>
      <c r="K70" s="25">
        <v>20000000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59"/>
      <c r="AB70" s="27">
        <f t="shared" si="82"/>
        <v>0.76</v>
      </c>
      <c r="AC70" s="25">
        <f t="shared" si="68"/>
        <v>15200000</v>
      </c>
      <c r="AD70" s="25"/>
      <c r="AE70" s="25"/>
      <c r="AF70" s="25"/>
      <c r="AG70" s="25"/>
      <c r="AH70" s="25">
        <f>+'[3]ABRIL 2016'!$O$1527</f>
        <v>15200000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7">
        <f t="shared" si="83"/>
        <v>0.24</v>
      </c>
      <c r="AY70" s="25">
        <f t="shared" si="69"/>
        <v>4800000</v>
      </c>
      <c r="AZ70" s="25">
        <f t="shared" si="70"/>
        <v>0</v>
      </c>
      <c r="BA70" s="25">
        <f t="shared" si="70"/>
        <v>0</v>
      </c>
      <c r="BB70" s="25">
        <f t="shared" si="70"/>
        <v>0</v>
      </c>
      <c r="BC70" s="25">
        <f t="shared" si="70"/>
        <v>4800000</v>
      </c>
      <c r="BD70" s="25">
        <f t="shared" si="70"/>
        <v>0</v>
      </c>
      <c r="BE70" s="25">
        <f t="shared" si="70"/>
        <v>0</v>
      </c>
      <c r="BF70" s="25">
        <f t="shared" si="70"/>
        <v>0</v>
      </c>
      <c r="BG70" s="25">
        <f t="shared" si="70"/>
        <v>0</v>
      </c>
      <c r="BH70" s="25">
        <f t="shared" si="70"/>
        <v>0</v>
      </c>
      <c r="BI70" s="25">
        <f t="shared" si="70"/>
        <v>0</v>
      </c>
      <c r="BJ70" s="25">
        <f t="shared" si="70"/>
        <v>0</v>
      </c>
      <c r="BK70" s="25">
        <f t="shared" si="70"/>
        <v>0</v>
      </c>
      <c r="BL70" s="25">
        <f t="shared" si="70"/>
        <v>0</v>
      </c>
      <c r="BM70" s="25">
        <f t="shared" si="70"/>
        <v>0</v>
      </c>
      <c r="BN70" s="25">
        <f t="shared" si="70"/>
        <v>0</v>
      </c>
      <c r="BO70" s="25"/>
      <c r="BP70" s="25">
        <f>X70-AU70</f>
        <v>0</v>
      </c>
      <c r="BQ70" s="25">
        <f t="shared" si="72"/>
        <v>0</v>
      </c>
      <c r="BR70" s="25">
        <f>Z70-AW70</f>
        <v>0</v>
      </c>
      <c r="BS70" s="27">
        <f t="shared" si="84"/>
        <v>0.62436239999999998</v>
      </c>
      <c r="BT70" s="25">
        <f t="shared" si="74"/>
        <v>12487248</v>
      </c>
      <c r="BU70" s="25"/>
      <c r="BV70" s="25"/>
      <c r="BW70" s="25"/>
      <c r="BX70" s="25"/>
      <c r="BY70" s="25">
        <f>+'[8]MAYO 2016'!$H$1761</f>
        <v>12487248</v>
      </c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7">
        <f t="shared" si="75"/>
        <v>0.37563760000000002</v>
      </c>
      <c r="CP70" s="25">
        <f t="shared" si="76"/>
        <v>7512752</v>
      </c>
      <c r="CQ70" s="25">
        <f t="shared" si="77"/>
        <v>0</v>
      </c>
      <c r="CR70" s="25">
        <f t="shared" si="77"/>
        <v>0</v>
      </c>
      <c r="CS70" s="25">
        <f t="shared" si="77"/>
        <v>0</v>
      </c>
      <c r="CT70" s="25">
        <f t="shared" si="77"/>
        <v>7512752</v>
      </c>
      <c r="CU70" s="25">
        <f t="shared" si="77"/>
        <v>0</v>
      </c>
      <c r="CV70" s="25">
        <f t="shared" si="77"/>
        <v>0</v>
      </c>
      <c r="CW70" s="25">
        <f t="shared" si="77"/>
        <v>0</v>
      </c>
      <c r="CX70" s="25">
        <f t="shared" si="77"/>
        <v>0</v>
      </c>
      <c r="CY70" s="25">
        <f t="shared" si="77"/>
        <v>0</v>
      </c>
      <c r="CZ70" s="25">
        <f t="shared" si="79"/>
        <v>0</v>
      </c>
      <c r="DA70" s="25">
        <f t="shared" si="79"/>
        <v>0</v>
      </c>
      <c r="DB70" s="25">
        <f t="shared" si="79"/>
        <v>0</v>
      </c>
      <c r="DC70" s="25">
        <f t="shared" si="79"/>
        <v>0</v>
      </c>
      <c r="DD70" s="25">
        <f t="shared" si="79"/>
        <v>0</v>
      </c>
      <c r="DE70" s="25">
        <f t="shared" si="79"/>
        <v>0</v>
      </c>
      <c r="DF70" s="25"/>
      <c r="DG70" s="25">
        <f t="shared" si="85"/>
        <v>0</v>
      </c>
      <c r="DH70" s="25">
        <f t="shared" si="85"/>
        <v>0</v>
      </c>
      <c r="DI70" s="25">
        <f t="shared" si="85"/>
        <v>0</v>
      </c>
    </row>
    <row r="71" spans="1:113" ht="33" customHeight="1" x14ac:dyDescent="0.25">
      <c r="A71" s="183" t="s">
        <v>179</v>
      </c>
      <c r="B71" s="197" t="s">
        <v>212</v>
      </c>
      <c r="C71" s="21" t="s">
        <v>213</v>
      </c>
      <c r="D71" s="22" t="s">
        <v>214</v>
      </c>
      <c r="E71" s="23">
        <v>520</v>
      </c>
      <c r="F71" s="24" t="s">
        <v>91</v>
      </c>
      <c r="G71" s="25">
        <f t="shared" si="67"/>
        <v>10000000</v>
      </c>
      <c r="H71" s="36"/>
      <c r="I71" s="25"/>
      <c r="J71" s="25"/>
      <c r="K71" s="25">
        <f>20000000-10000000</f>
        <v>10000000</v>
      </c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59"/>
      <c r="AB71" s="27">
        <f t="shared" si="82"/>
        <v>0</v>
      </c>
      <c r="AC71" s="25">
        <f t="shared" si="68"/>
        <v>0</v>
      </c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7">
        <f t="shared" si="83"/>
        <v>1</v>
      </c>
      <c r="AY71" s="25">
        <f t="shared" si="69"/>
        <v>10000000</v>
      </c>
      <c r="AZ71" s="25">
        <f t="shared" si="70"/>
        <v>0</v>
      </c>
      <c r="BA71" s="25">
        <f t="shared" si="70"/>
        <v>0</v>
      </c>
      <c r="BB71" s="25">
        <f t="shared" si="70"/>
        <v>0</v>
      </c>
      <c r="BC71" s="25">
        <f t="shared" ref="BC71:BN86" si="86">+K71-AH71</f>
        <v>10000000</v>
      </c>
      <c r="BD71" s="25">
        <f t="shared" si="86"/>
        <v>0</v>
      </c>
      <c r="BE71" s="25">
        <f t="shared" si="86"/>
        <v>0</v>
      </c>
      <c r="BF71" s="25">
        <f t="shared" si="86"/>
        <v>0</v>
      </c>
      <c r="BG71" s="25">
        <f t="shared" si="86"/>
        <v>0</v>
      </c>
      <c r="BH71" s="25">
        <f t="shared" si="86"/>
        <v>0</v>
      </c>
      <c r="BI71" s="25">
        <f t="shared" si="86"/>
        <v>0</v>
      </c>
      <c r="BJ71" s="25">
        <f t="shared" si="86"/>
        <v>0</v>
      </c>
      <c r="BK71" s="25">
        <f t="shared" si="86"/>
        <v>0</v>
      </c>
      <c r="BL71" s="25">
        <f t="shared" si="86"/>
        <v>0</v>
      </c>
      <c r="BM71" s="25">
        <f t="shared" si="86"/>
        <v>0</v>
      </c>
      <c r="BN71" s="25">
        <f t="shared" si="86"/>
        <v>0</v>
      </c>
      <c r="BO71" s="25"/>
      <c r="BP71" s="25"/>
      <c r="BQ71" s="25">
        <f t="shared" si="72"/>
        <v>0</v>
      </c>
      <c r="BR71" s="25">
        <f t="shared" ref="BR71:BR90" si="87">+Z71-AW71</f>
        <v>0</v>
      </c>
      <c r="BS71" s="27">
        <f t="shared" si="84"/>
        <v>0</v>
      </c>
      <c r="BT71" s="25">
        <f t="shared" si="74"/>
        <v>0</v>
      </c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7">
        <f t="shared" si="75"/>
        <v>1</v>
      </c>
      <c r="CP71" s="25">
        <f t="shared" si="76"/>
        <v>10000000</v>
      </c>
      <c r="CQ71" s="25">
        <f t="shared" si="77"/>
        <v>0</v>
      </c>
      <c r="CR71" s="25">
        <f t="shared" si="77"/>
        <v>0</v>
      </c>
      <c r="CS71" s="25">
        <f t="shared" si="77"/>
        <v>0</v>
      </c>
      <c r="CT71" s="25">
        <f t="shared" si="77"/>
        <v>10000000</v>
      </c>
      <c r="CU71" s="25">
        <f t="shared" si="77"/>
        <v>0</v>
      </c>
      <c r="CV71" s="25">
        <f t="shared" si="77"/>
        <v>0</v>
      </c>
      <c r="CW71" s="25">
        <f t="shared" ref="CW71:CY73" si="88">+N71-CB71</f>
        <v>0</v>
      </c>
      <c r="CX71" s="25">
        <f t="shared" si="88"/>
        <v>0</v>
      </c>
      <c r="CY71" s="25">
        <f t="shared" si="88"/>
        <v>0</v>
      </c>
      <c r="CZ71" s="25">
        <f t="shared" si="79"/>
        <v>0</v>
      </c>
      <c r="DA71" s="25">
        <f t="shared" si="79"/>
        <v>0</v>
      </c>
      <c r="DB71" s="25">
        <f t="shared" si="79"/>
        <v>0</v>
      </c>
      <c r="DC71" s="25">
        <f t="shared" ref="DC71:DE82" si="89">+T71-CH71</f>
        <v>0</v>
      </c>
      <c r="DD71" s="25">
        <f t="shared" si="89"/>
        <v>0</v>
      </c>
      <c r="DE71" s="25">
        <f t="shared" si="89"/>
        <v>0</v>
      </c>
      <c r="DF71" s="25"/>
      <c r="DG71" s="25">
        <f t="shared" ref="DG71:DI82" si="90">+X71-CL71</f>
        <v>0</v>
      </c>
      <c r="DH71" s="56">
        <f t="shared" si="90"/>
        <v>0</v>
      </c>
      <c r="DI71" s="25">
        <f t="shared" si="90"/>
        <v>0</v>
      </c>
    </row>
    <row r="72" spans="1:113" ht="35.25" customHeight="1" x14ac:dyDescent="0.25">
      <c r="A72" s="184"/>
      <c r="B72" s="198"/>
      <c r="C72" s="21" t="s">
        <v>215</v>
      </c>
      <c r="D72" s="22" t="s">
        <v>216</v>
      </c>
      <c r="E72" s="23">
        <v>520</v>
      </c>
      <c r="F72" s="24" t="s">
        <v>91</v>
      </c>
      <c r="G72" s="25">
        <f t="shared" si="67"/>
        <v>20000000</v>
      </c>
      <c r="H72" s="36"/>
      <c r="I72" s="25"/>
      <c r="J72" s="25"/>
      <c r="K72" s="25">
        <v>20000000</v>
      </c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59"/>
      <c r="AB72" s="27">
        <f t="shared" si="82"/>
        <v>0.89853749999999999</v>
      </c>
      <c r="AC72" s="25">
        <f t="shared" si="68"/>
        <v>17970750</v>
      </c>
      <c r="AD72" s="25"/>
      <c r="AE72" s="25"/>
      <c r="AF72" s="25"/>
      <c r="AG72" s="25"/>
      <c r="AH72" s="25">
        <f>+'[1]AGOSTO 2016'!$G$2917</f>
        <v>17970750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7">
        <f t="shared" si="83"/>
        <v>0.10146250000000001</v>
      </c>
      <c r="AY72" s="25">
        <f t="shared" si="69"/>
        <v>2029250</v>
      </c>
      <c r="AZ72" s="25">
        <f t="shared" si="70"/>
        <v>0</v>
      </c>
      <c r="BA72" s="25">
        <f t="shared" si="70"/>
        <v>0</v>
      </c>
      <c r="BB72" s="25">
        <f t="shared" si="70"/>
        <v>0</v>
      </c>
      <c r="BC72" s="25">
        <f t="shared" si="86"/>
        <v>2029250</v>
      </c>
      <c r="BD72" s="25">
        <f t="shared" si="86"/>
        <v>0</v>
      </c>
      <c r="BE72" s="25">
        <f t="shared" si="86"/>
        <v>0</v>
      </c>
      <c r="BF72" s="25">
        <f t="shared" si="86"/>
        <v>0</v>
      </c>
      <c r="BG72" s="25">
        <f t="shared" si="86"/>
        <v>0</v>
      </c>
      <c r="BH72" s="25">
        <f t="shared" si="86"/>
        <v>0</v>
      </c>
      <c r="BI72" s="25">
        <f t="shared" si="86"/>
        <v>0</v>
      </c>
      <c r="BJ72" s="25">
        <f t="shared" si="86"/>
        <v>0</v>
      </c>
      <c r="BK72" s="25">
        <f t="shared" si="86"/>
        <v>0</v>
      </c>
      <c r="BL72" s="25">
        <f t="shared" si="86"/>
        <v>0</v>
      </c>
      <c r="BM72" s="25">
        <f t="shared" si="86"/>
        <v>0</v>
      </c>
      <c r="BN72" s="25">
        <f t="shared" si="86"/>
        <v>0</v>
      </c>
      <c r="BO72" s="25"/>
      <c r="BP72" s="25"/>
      <c r="BQ72" s="25">
        <f t="shared" si="72"/>
        <v>0</v>
      </c>
      <c r="BR72" s="25">
        <f t="shared" si="87"/>
        <v>0</v>
      </c>
      <c r="BS72" s="27">
        <f t="shared" si="84"/>
        <v>0.89853749999999999</v>
      </c>
      <c r="BT72" s="25">
        <f t="shared" si="74"/>
        <v>17970750</v>
      </c>
      <c r="BU72" s="25"/>
      <c r="BV72" s="25"/>
      <c r="BW72" s="25"/>
      <c r="BX72" s="25"/>
      <c r="BY72" s="25">
        <f>+'[4]ENERO 2016'!$H$769</f>
        <v>17970750</v>
      </c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7">
        <f t="shared" si="75"/>
        <v>0.10146250000000001</v>
      </c>
      <c r="CP72" s="25">
        <f t="shared" si="76"/>
        <v>2029250</v>
      </c>
      <c r="CQ72" s="25">
        <f t="shared" si="77"/>
        <v>0</v>
      </c>
      <c r="CR72" s="25">
        <f t="shared" si="77"/>
        <v>0</v>
      </c>
      <c r="CS72" s="25">
        <f t="shared" si="77"/>
        <v>0</v>
      </c>
      <c r="CT72" s="25">
        <f t="shared" si="77"/>
        <v>2029250</v>
      </c>
      <c r="CU72" s="25">
        <f t="shared" si="77"/>
        <v>0</v>
      </c>
      <c r="CV72" s="25">
        <f t="shared" si="77"/>
        <v>0</v>
      </c>
      <c r="CW72" s="25">
        <f t="shared" si="88"/>
        <v>0</v>
      </c>
      <c r="CX72" s="25">
        <f t="shared" si="88"/>
        <v>0</v>
      </c>
      <c r="CY72" s="25">
        <f t="shared" si="88"/>
        <v>0</v>
      </c>
      <c r="CZ72" s="25">
        <f t="shared" si="79"/>
        <v>0</v>
      </c>
      <c r="DA72" s="25">
        <f t="shared" si="79"/>
        <v>0</v>
      </c>
      <c r="DB72" s="25">
        <f t="shared" si="79"/>
        <v>0</v>
      </c>
      <c r="DC72" s="25">
        <f t="shared" si="89"/>
        <v>0</v>
      </c>
      <c r="DD72" s="25">
        <f t="shared" si="89"/>
        <v>0</v>
      </c>
      <c r="DE72" s="25">
        <f t="shared" si="89"/>
        <v>0</v>
      </c>
      <c r="DF72" s="25"/>
      <c r="DG72" s="25">
        <f t="shared" si="90"/>
        <v>0</v>
      </c>
      <c r="DH72" s="56">
        <f t="shared" si="90"/>
        <v>0</v>
      </c>
      <c r="DI72" s="25">
        <f t="shared" si="90"/>
        <v>0</v>
      </c>
    </row>
    <row r="73" spans="1:113" ht="33.75" customHeight="1" x14ac:dyDescent="0.25">
      <c r="A73" s="184"/>
      <c r="B73" s="198"/>
      <c r="C73" s="21" t="s">
        <v>217</v>
      </c>
      <c r="D73" s="22" t="s">
        <v>218</v>
      </c>
      <c r="E73" s="23">
        <v>520</v>
      </c>
      <c r="F73" s="24" t="s">
        <v>76</v>
      </c>
      <c r="G73" s="25">
        <f t="shared" si="67"/>
        <v>1000000</v>
      </c>
      <c r="H73" s="36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>
        <f>3000000-2000000</f>
        <v>1000000</v>
      </c>
      <c r="AA73" s="59"/>
      <c r="AB73" s="27">
        <f t="shared" si="82"/>
        <v>1</v>
      </c>
      <c r="AC73" s="25">
        <f t="shared" si="68"/>
        <v>1000000</v>
      </c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>
        <f>+'[3]ABRIL 2016'!$G$1547</f>
        <v>1000000</v>
      </c>
      <c r="AX73" s="27">
        <f t="shared" si="83"/>
        <v>0</v>
      </c>
      <c r="AY73" s="25">
        <f t="shared" si="69"/>
        <v>0</v>
      </c>
      <c r="AZ73" s="25">
        <f t="shared" si="70"/>
        <v>0</v>
      </c>
      <c r="BA73" s="25">
        <f t="shared" si="70"/>
        <v>0</v>
      </c>
      <c r="BB73" s="25">
        <f t="shared" si="70"/>
        <v>0</v>
      </c>
      <c r="BC73" s="25">
        <f t="shared" si="86"/>
        <v>0</v>
      </c>
      <c r="BD73" s="25">
        <f t="shared" si="86"/>
        <v>0</v>
      </c>
      <c r="BE73" s="25">
        <f t="shared" si="86"/>
        <v>0</v>
      </c>
      <c r="BF73" s="25">
        <f t="shared" si="86"/>
        <v>0</v>
      </c>
      <c r="BG73" s="25">
        <f t="shared" si="86"/>
        <v>0</v>
      </c>
      <c r="BH73" s="25">
        <f t="shared" si="86"/>
        <v>0</v>
      </c>
      <c r="BI73" s="25">
        <f t="shared" si="86"/>
        <v>0</v>
      </c>
      <c r="BJ73" s="25">
        <f t="shared" si="86"/>
        <v>0</v>
      </c>
      <c r="BK73" s="25">
        <f t="shared" si="86"/>
        <v>0</v>
      </c>
      <c r="BL73" s="25">
        <f t="shared" si="86"/>
        <v>0</v>
      </c>
      <c r="BM73" s="25">
        <f t="shared" si="86"/>
        <v>0</v>
      </c>
      <c r="BN73" s="25">
        <f t="shared" si="86"/>
        <v>0</v>
      </c>
      <c r="BO73" s="25"/>
      <c r="BP73" s="25"/>
      <c r="BQ73" s="25">
        <f t="shared" si="72"/>
        <v>0</v>
      </c>
      <c r="BR73" s="25">
        <f t="shared" si="87"/>
        <v>0</v>
      </c>
      <c r="BS73" s="27">
        <f t="shared" si="84"/>
        <v>1</v>
      </c>
      <c r="BT73" s="25">
        <f t="shared" si="74"/>
        <v>1000000</v>
      </c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>
        <f>+'[3]ABRIL 2016'!$H$1547</f>
        <v>1000000</v>
      </c>
      <c r="CO73" s="27">
        <f t="shared" si="75"/>
        <v>0</v>
      </c>
      <c r="CP73" s="25">
        <f t="shared" si="76"/>
        <v>0</v>
      </c>
      <c r="CQ73" s="25">
        <f t="shared" si="77"/>
        <v>0</v>
      </c>
      <c r="CR73" s="25">
        <f t="shared" si="77"/>
        <v>0</v>
      </c>
      <c r="CS73" s="25">
        <f t="shared" si="77"/>
        <v>0</v>
      </c>
      <c r="CT73" s="25">
        <f t="shared" si="77"/>
        <v>0</v>
      </c>
      <c r="CU73" s="25">
        <f t="shared" si="77"/>
        <v>0</v>
      </c>
      <c r="CV73" s="25">
        <f t="shared" si="77"/>
        <v>0</v>
      </c>
      <c r="CW73" s="25">
        <f t="shared" si="88"/>
        <v>0</v>
      </c>
      <c r="CX73" s="25">
        <f t="shared" si="88"/>
        <v>0</v>
      </c>
      <c r="CY73" s="25">
        <f t="shared" si="88"/>
        <v>0</v>
      </c>
      <c r="CZ73" s="25">
        <f t="shared" si="79"/>
        <v>0</v>
      </c>
      <c r="DA73" s="25">
        <f t="shared" si="79"/>
        <v>0</v>
      </c>
      <c r="DB73" s="25">
        <f t="shared" si="79"/>
        <v>0</v>
      </c>
      <c r="DC73" s="25">
        <f t="shared" si="89"/>
        <v>0</v>
      </c>
      <c r="DD73" s="25">
        <f t="shared" si="89"/>
        <v>0</v>
      </c>
      <c r="DE73" s="25">
        <f t="shared" si="89"/>
        <v>0</v>
      </c>
      <c r="DF73" s="25"/>
      <c r="DG73" s="25">
        <f t="shared" si="90"/>
        <v>0</v>
      </c>
      <c r="DH73" s="56">
        <f t="shared" si="90"/>
        <v>0</v>
      </c>
      <c r="DI73" s="25">
        <f t="shared" si="90"/>
        <v>0</v>
      </c>
    </row>
    <row r="74" spans="1:113" ht="33" customHeight="1" x14ac:dyDescent="0.25">
      <c r="A74" s="184"/>
      <c r="B74" s="198"/>
      <c r="C74" s="21" t="s">
        <v>219</v>
      </c>
      <c r="D74" s="22" t="s">
        <v>220</v>
      </c>
      <c r="E74" s="23">
        <v>520</v>
      </c>
      <c r="F74" s="24" t="s">
        <v>91</v>
      </c>
      <c r="G74" s="25">
        <f t="shared" si="67"/>
        <v>5000000</v>
      </c>
      <c r="H74" s="36"/>
      <c r="I74" s="25"/>
      <c r="J74" s="25"/>
      <c r="K74" s="25">
        <v>5000000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59"/>
      <c r="AB74" s="27">
        <f t="shared" si="82"/>
        <v>0</v>
      </c>
      <c r="AC74" s="25">
        <f t="shared" si="68"/>
        <v>0</v>
      </c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7">
        <f t="shared" si="83"/>
        <v>1</v>
      </c>
      <c r="AY74" s="25">
        <f t="shared" si="69"/>
        <v>5000000</v>
      </c>
      <c r="AZ74" s="25">
        <f t="shared" si="70"/>
        <v>0</v>
      </c>
      <c r="BA74" s="25">
        <f t="shared" si="70"/>
        <v>0</v>
      </c>
      <c r="BB74" s="25">
        <f t="shared" si="70"/>
        <v>0</v>
      </c>
      <c r="BC74" s="25">
        <f t="shared" si="86"/>
        <v>5000000</v>
      </c>
      <c r="BD74" s="25"/>
      <c r="BE74" s="25"/>
      <c r="BF74" s="25"/>
      <c r="BG74" s="25"/>
      <c r="BH74" s="25"/>
      <c r="BI74" s="25">
        <f t="shared" si="86"/>
        <v>0</v>
      </c>
      <c r="BJ74" s="25">
        <f t="shared" si="86"/>
        <v>0</v>
      </c>
      <c r="BK74" s="25">
        <f t="shared" si="86"/>
        <v>0</v>
      </c>
      <c r="BL74" s="25"/>
      <c r="BM74" s="25">
        <f t="shared" si="86"/>
        <v>0</v>
      </c>
      <c r="BN74" s="25">
        <f t="shared" si="86"/>
        <v>0</v>
      </c>
      <c r="BO74" s="25"/>
      <c r="BP74" s="25"/>
      <c r="BQ74" s="25">
        <f t="shared" si="72"/>
        <v>0</v>
      </c>
      <c r="BR74" s="25">
        <f t="shared" si="87"/>
        <v>0</v>
      </c>
      <c r="BS74" s="27">
        <f t="shared" si="84"/>
        <v>0</v>
      </c>
      <c r="BT74" s="25">
        <f t="shared" si="74"/>
        <v>0</v>
      </c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7">
        <f t="shared" si="75"/>
        <v>1</v>
      </c>
      <c r="CP74" s="25">
        <f t="shared" si="76"/>
        <v>5000000</v>
      </c>
      <c r="CQ74" s="25">
        <f t="shared" si="77"/>
        <v>0</v>
      </c>
      <c r="CR74" s="25">
        <f t="shared" si="77"/>
        <v>0</v>
      </c>
      <c r="CS74" s="25">
        <f t="shared" si="77"/>
        <v>0</v>
      </c>
      <c r="CT74" s="25">
        <f t="shared" si="77"/>
        <v>5000000</v>
      </c>
      <c r="CU74" s="25"/>
      <c r="CV74" s="25"/>
      <c r="CW74" s="25"/>
      <c r="CX74" s="25"/>
      <c r="CY74" s="25"/>
      <c r="CZ74" s="25">
        <f t="shared" si="79"/>
        <v>0</v>
      </c>
      <c r="DA74" s="25">
        <f t="shared" si="79"/>
        <v>0</v>
      </c>
      <c r="DB74" s="25">
        <f t="shared" si="79"/>
        <v>0</v>
      </c>
      <c r="DC74" s="25">
        <f t="shared" si="89"/>
        <v>0</v>
      </c>
      <c r="DD74" s="25">
        <f t="shared" si="89"/>
        <v>0</v>
      </c>
      <c r="DE74" s="25">
        <f t="shared" si="89"/>
        <v>0</v>
      </c>
      <c r="DF74" s="25"/>
      <c r="DG74" s="25"/>
      <c r="DH74" s="56"/>
      <c r="DI74" s="25">
        <f t="shared" si="90"/>
        <v>0</v>
      </c>
    </row>
    <row r="75" spans="1:113" ht="22.5" customHeight="1" x14ac:dyDescent="0.25">
      <c r="A75" s="184"/>
      <c r="B75" s="198"/>
      <c r="C75" s="21" t="s">
        <v>221</v>
      </c>
      <c r="D75" s="22" t="s">
        <v>222</v>
      </c>
      <c r="E75" s="23">
        <v>520</v>
      </c>
      <c r="F75" s="24" t="s">
        <v>91</v>
      </c>
      <c r="G75" s="25">
        <f t="shared" si="67"/>
        <v>5000000</v>
      </c>
      <c r="H75" s="36"/>
      <c r="I75" s="25"/>
      <c r="J75" s="25"/>
      <c r="K75" s="25">
        <v>5000000</v>
      </c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59"/>
      <c r="AB75" s="27">
        <f t="shared" si="82"/>
        <v>0</v>
      </c>
      <c r="AC75" s="25">
        <f t="shared" si="68"/>
        <v>0</v>
      </c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7">
        <f t="shared" si="83"/>
        <v>1</v>
      </c>
      <c r="AY75" s="25">
        <f t="shared" si="69"/>
        <v>5000000</v>
      </c>
      <c r="AZ75" s="25">
        <f t="shared" si="70"/>
        <v>0</v>
      </c>
      <c r="BA75" s="25">
        <f t="shared" si="70"/>
        <v>0</v>
      </c>
      <c r="BB75" s="25">
        <f t="shared" si="70"/>
        <v>0</v>
      </c>
      <c r="BC75" s="25">
        <f t="shared" si="86"/>
        <v>5000000</v>
      </c>
      <c r="BD75" s="25"/>
      <c r="BE75" s="25"/>
      <c r="BF75" s="25"/>
      <c r="BG75" s="25"/>
      <c r="BH75" s="25"/>
      <c r="BI75" s="25">
        <f t="shared" si="86"/>
        <v>0</v>
      </c>
      <c r="BJ75" s="25">
        <f t="shared" si="86"/>
        <v>0</v>
      </c>
      <c r="BK75" s="25">
        <f t="shared" si="86"/>
        <v>0</v>
      </c>
      <c r="BL75" s="25"/>
      <c r="BM75" s="25">
        <f t="shared" si="86"/>
        <v>0</v>
      </c>
      <c r="BN75" s="25">
        <f t="shared" si="86"/>
        <v>0</v>
      </c>
      <c r="BO75" s="25"/>
      <c r="BP75" s="25"/>
      <c r="BQ75" s="25">
        <f t="shared" si="72"/>
        <v>0</v>
      </c>
      <c r="BR75" s="25">
        <f t="shared" si="87"/>
        <v>0</v>
      </c>
      <c r="BS75" s="27">
        <f t="shared" si="84"/>
        <v>0</v>
      </c>
      <c r="BT75" s="25">
        <f t="shared" si="74"/>
        <v>0</v>
      </c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7">
        <f t="shared" si="75"/>
        <v>1</v>
      </c>
      <c r="CP75" s="25">
        <f t="shared" si="76"/>
        <v>5000000</v>
      </c>
      <c r="CQ75" s="25">
        <f t="shared" ref="CQ75:CV90" si="91">H75-BV75</f>
        <v>0</v>
      </c>
      <c r="CR75" s="25">
        <f t="shared" si="91"/>
        <v>0</v>
      </c>
      <c r="CS75" s="25">
        <f t="shared" si="91"/>
        <v>0</v>
      </c>
      <c r="CT75" s="25">
        <f t="shared" si="91"/>
        <v>5000000</v>
      </c>
      <c r="CU75" s="25"/>
      <c r="CV75" s="25"/>
      <c r="CW75" s="25"/>
      <c r="CX75" s="25"/>
      <c r="CY75" s="25"/>
      <c r="CZ75" s="25">
        <f t="shared" si="79"/>
        <v>0</v>
      </c>
      <c r="DA75" s="25">
        <f t="shared" si="79"/>
        <v>0</v>
      </c>
      <c r="DB75" s="25">
        <f t="shared" si="79"/>
        <v>0</v>
      </c>
      <c r="DC75" s="25">
        <f t="shared" si="89"/>
        <v>0</v>
      </c>
      <c r="DD75" s="25">
        <f t="shared" si="89"/>
        <v>0</v>
      </c>
      <c r="DE75" s="25">
        <f t="shared" si="89"/>
        <v>0</v>
      </c>
      <c r="DF75" s="25"/>
      <c r="DG75" s="25"/>
      <c r="DH75" s="56"/>
      <c r="DI75" s="25">
        <f t="shared" si="90"/>
        <v>0</v>
      </c>
    </row>
    <row r="76" spans="1:113" ht="21" customHeight="1" x14ac:dyDescent="0.25">
      <c r="A76" s="184"/>
      <c r="B76" s="198"/>
      <c r="C76" s="21" t="s">
        <v>223</v>
      </c>
      <c r="D76" s="22" t="s">
        <v>224</v>
      </c>
      <c r="E76" s="23">
        <v>520</v>
      </c>
      <c r="F76" s="24" t="s">
        <v>91</v>
      </c>
      <c r="G76" s="25">
        <f t="shared" si="67"/>
        <v>15000000</v>
      </c>
      <c r="H76" s="36"/>
      <c r="I76" s="25"/>
      <c r="J76" s="25"/>
      <c r="K76" s="25">
        <f>5000000+10000000</f>
        <v>15000000</v>
      </c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59"/>
      <c r="AB76" s="27">
        <f t="shared" si="82"/>
        <v>0.92977500000000002</v>
      </c>
      <c r="AC76" s="25">
        <f t="shared" si="68"/>
        <v>13946625</v>
      </c>
      <c r="AD76" s="25"/>
      <c r="AE76" s="25"/>
      <c r="AF76" s="25"/>
      <c r="AG76" s="25"/>
      <c r="AH76" s="25">
        <f>+'[3]ABRIL 2016'!$G$1562</f>
        <v>13946625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7">
        <f t="shared" si="83"/>
        <v>7.0224999999999982E-2</v>
      </c>
      <c r="AY76" s="25">
        <f t="shared" si="69"/>
        <v>1053375</v>
      </c>
      <c r="AZ76" s="25">
        <f t="shared" si="70"/>
        <v>0</v>
      </c>
      <c r="BA76" s="25">
        <f t="shared" si="70"/>
        <v>0</v>
      </c>
      <c r="BB76" s="25">
        <f t="shared" si="70"/>
        <v>0</v>
      </c>
      <c r="BC76" s="25">
        <f t="shared" si="86"/>
        <v>1053375</v>
      </c>
      <c r="BD76" s="25"/>
      <c r="BE76" s="25"/>
      <c r="BF76" s="25"/>
      <c r="BG76" s="25"/>
      <c r="BH76" s="25"/>
      <c r="BI76" s="25">
        <f t="shared" si="86"/>
        <v>0</v>
      </c>
      <c r="BJ76" s="25">
        <f t="shared" si="86"/>
        <v>0</v>
      </c>
      <c r="BK76" s="25">
        <f t="shared" si="86"/>
        <v>0</v>
      </c>
      <c r="BL76" s="25">
        <f t="shared" si="86"/>
        <v>0</v>
      </c>
      <c r="BM76" s="25">
        <f t="shared" si="86"/>
        <v>0</v>
      </c>
      <c r="BN76" s="25">
        <f t="shared" si="86"/>
        <v>0</v>
      </c>
      <c r="BO76" s="25"/>
      <c r="BP76" s="25"/>
      <c r="BQ76" s="25">
        <f t="shared" si="72"/>
        <v>0</v>
      </c>
      <c r="BR76" s="25">
        <f t="shared" si="87"/>
        <v>0</v>
      </c>
      <c r="BS76" s="27">
        <f t="shared" si="84"/>
        <v>0.92977500000000002</v>
      </c>
      <c r="BT76" s="25">
        <f t="shared" si="74"/>
        <v>13946625</v>
      </c>
      <c r="BU76" s="25"/>
      <c r="BV76" s="25"/>
      <c r="BW76" s="25"/>
      <c r="BX76" s="25"/>
      <c r="BY76" s="25">
        <v>13946625</v>
      </c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7">
        <f t="shared" si="75"/>
        <v>7.0224999999999982E-2</v>
      </c>
      <c r="CP76" s="25">
        <f t="shared" si="76"/>
        <v>1053375</v>
      </c>
      <c r="CQ76" s="25">
        <f t="shared" si="91"/>
        <v>0</v>
      </c>
      <c r="CR76" s="25">
        <f t="shared" si="91"/>
        <v>0</v>
      </c>
      <c r="CS76" s="25">
        <f t="shared" si="91"/>
        <v>0</v>
      </c>
      <c r="CT76" s="25">
        <f t="shared" si="91"/>
        <v>1053375</v>
      </c>
      <c r="CU76" s="25"/>
      <c r="CV76" s="25"/>
      <c r="CW76" s="25"/>
      <c r="CX76" s="25"/>
      <c r="CY76" s="25"/>
      <c r="CZ76" s="25">
        <f t="shared" si="79"/>
        <v>0</v>
      </c>
      <c r="DA76" s="25">
        <f t="shared" si="79"/>
        <v>0</v>
      </c>
      <c r="DB76" s="25">
        <f t="shared" si="79"/>
        <v>0</v>
      </c>
      <c r="DC76" s="25">
        <f t="shared" si="89"/>
        <v>0</v>
      </c>
      <c r="DD76" s="25">
        <f t="shared" si="89"/>
        <v>0</v>
      </c>
      <c r="DE76" s="25">
        <f t="shared" si="89"/>
        <v>0</v>
      </c>
      <c r="DF76" s="25"/>
      <c r="DG76" s="25"/>
      <c r="DH76" s="56"/>
      <c r="DI76" s="25">
        <f t="shared" si="90"/>
        <v>0</v>
      </c>
    </row>
    <row r="77" spans="1:113" ht="21.75" customHeight="1" x14ac:dyDescent="0.25">
      <c r="A77" s="184"/>
      <c r="B77" s="199"/>
      <c r="C77" s="21" t="s">
        <v>225</v>
      </c>
      <c r="D77" s="22" t="s">
        <v>226</v>
      </c>
      <c r="E77" s="23">
        <v>520</v>
      </c>
      <c r="F77" s="24" t="s">
        <v>91</v>
      </c>
      <c r="G77" s="25">
        <f t="shared" si="67"/>
        <v>5000000</v>
      </c>
      <c r="H77" s="36"/>
      <c r="I77" s="25"/>
      <c r="J77" s="25"/>
      <c r="K77" s="25">
        <v>5000000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59"/>
      <c r="AB77" s="27">
        <f t="shared" si="82"/>
        <v>0.74168699999999999</v>
      </c>
      <c r="AC77" s="25">
        <f t="shared" si="68"/>
        <v>3708435</v>
      </c>
      <c r="AD77" s="25"/>
      <c r="AE77" s="25"/>
      <c r="AF77" s="25"/>
      <c r="AG77" s="25"/>
      <c r="AH77" s="25">
        <f>+'[1]AGOSTO 2016'!$O$2947</f>
        <v>3708435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7">
        <f t="shared" si="83"/>
        <v>0.25831300000000001</v>
      </c>
      <c r="AY77" s="25">
        <f t="shared" si="69"/>
        <v>1291565</v>
      </c>
      <c r="AZ77" s="25">
        <f t="shared" si="70"/>
        <v>0</v>
      </c>
      <c r="BA77" s="25">
        <f t="shared" si="70"/>
        <v>0</v>
      </c>
      <c r="BB77" s="25">
        <f t="shared" si="70"/>
        <v>0</v>
      </c>
      <c r="BC77" s="25">
        <f t="shared" si="86"/>
        <v>1291565</v>
      </c>
      <c r="BD77" s="25"/>
      <c r="BE77" s="25"/>
      <c r="BF77" s="25"/>
      <c r="BG77" s="25"/>
      <c r="BH77" s="25"/>
      <c r="BI77" s="25">
        <f t="shared" si="86"/>
        <v>0</v>
      </c>
      <c r="BJ77" s="25">
        <f t="shared" si="86"/>
        <v>0</v>
      </c>
      <c r="BK77" s="25">
        <f t="shared" si="86"/>
        <v>0</v>
      </c>
      <c r="BL77" s="25">
        <f t="shared" si="86"/>
        <v>0</v>
      </c>
      <c r="BM77" s="25">
        <f t="shared" si="86"/>
        <v>0</v>
      </c>
      <c r="BN77" s="25">
        <f t="shared" si="86"/>
        <v>0</v>
      </c>
      <c r="BO77" s="25"/>
      <c r="BP77" s="25"/>
      <c r="BQ77" s="25">
        <f t="shared" si="72"/>
        <v>0</v>
      </c>
      <c r="BR77" s="25">
        <f t="shared" si="87"/>
        <v>0</v>
      </c>
      <c r="BS77" s="27">
        <f t="shared" si="84"/>
        <v>0.74168699999999999</v>
      </c>
      <c r="BT77" s="25">
        <f t="shared" si="74"/>
        <v>3708435</v>
      </c>
      <c r="BU77" s="25"/>
      <c r="BV77" s="25"/>
      <c r="BW77" s="25"/>
      <c r="BX77" s="25"/>
      <c r="BY77" s="25">
        <f>+'[1]AGOSTO 2016'!$H$2945</f>
        <v>3708435</v>
      </c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7">
        <f t="shared" si="75"/>
        <v>0.25831300000000001</v>
      </c>
      <c r="CP77" s="25">
        <f t="shared" si="76"/>
        <v>1291565</v>
      </c>
      <c r="CQ77" s="25">
        <f t="shared" si="91"/>
        <v>0</v>
      </c>
      <c r="CR77" s="25">
        <f t="shared" si="91"/>
        <v>0</v>
      </c>
      <c r="CS77" s="25">
        <f t="shared" si="91"/>
        <v>0</v>
      </c>
      <c r="CT77" s="25">
        <f t="shared" si="91"/>
        <v>1291565</v>
      </c>
      <c r="CU77" s="25"/>
      <c r="CV77" s="25"/>
      <c r="CW77" s="25"/>
      <c r="CX77" s="25"/>
      <c r="CY77" s="25"/>
      <c r="CZ77" s="25">
        <f t="shared" si="79"/>
        <v>0</v>
      </c>
      <c r="DA77" s="25">
        <f t="shared" si="79"/>
        <v>0</v>
      </c>
      <c r="DB77" s="25">
        <f t="shared" si="79"/>
        <v>0</v>
      </c>
      <c r="DC77" s="25">
        <f t="shared" si="89"/>
        <v>0</v>
      </c>
      <c r="DD77" s="25">
        <f t="shared" si="89"/>
        <v>0</v>
      </c>
      <c r="DE77" s="25">
        <f t="shared" si="89"/>
        <v>0</v>
      </c>
      <c r="DF77" s="25"/>
      <c r="DG77" s="25"/>
      <c r="DH77" s="56"/>
      <c r="DI77" s="25">
        <f t="shared" si="90"/>
        <v>0</v>
      </c>
    </row>
    <row r="78" spans="1:113" ht="34.5" customHeight="1" x14ac:dyDescent="0.25">
      <c r="A78" s="184"/>
      <c r="B78" s="186" t="s">
        <v>227</v>
      </c>
      <c r="C78" s="21" t="s">
        <v>228</v>
      </c>
      <c r="D78" s="22" t="s">
        <v>229</v>
      </c>
      <c r="E78" s="23">
        <v>520</v>
      </c>
      <c r="F78" s="24" t="s">
        <v>91</v>
      </c>
      <c r="G78" s="25">
        <f t="shared" si="67"/>
        <v>10000000</v>
      </c>
      <c r="H78" s="36"/>
      <c r="I78" s="25"/>
      <c r="J78" s="25"/>
      <c r="K78" s="25">
        <v>10000000</v>
      </c>
      <c r="L78" s="25"/>
      <c r="M78" s="25"/>
      <c r="N78" s="25"/>
      <c r="O78" s="25"/>
      <c r="P78" s="25"/>
      <c r="Q78" s="25"/>
      <c r="R78" s="25"/>
      <c r="S78" s="49"/>
      <c r="T78" s="25"/>
      <c r="U78" s="25"/>
      <c r="V78" s="25"/>
      <c r="W78" s="25"/>
      <c r="X78" s="25"/>
      <c r="Y78" s="25"/>
      <c r="Z78" s="25"/>
      <c r="AA78" s="59"/>
      <c r="AB78" s="27">
        <f t="shared" si="82"/>
        <v>1</v>
      </c>
      <c r="AC78" s="25">
        <f t="shared" si="68"/>
        <v>10000000</v>
      </c>
      <c r="AD78" s="25"/>
      <c r="AE78" s="25"/>
      <c r="AF78" s="25"/>
      <c r="AG78" s="25"/>
      <c r="AH78" s="25">
        <f>+'[6]JULIO 2016'!$O$2299</f>
        <v>10000000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7">
        <f t="shared" si="83"/>
        <v>0</v>
      </c>
      <c r="AY78" s="25">
        <f t="shared" si="69"/>
        <v>0</v>
      </c>
      <c r="AZ78" s="25">
        <f t="shared" si="70"/>
        <v>0</v>
      </c>
      <c r="BA78" s="25">
        <f t="shared" si="70"/>
        <v>0</v>
      </c>
      <c r="BB78" s="25">
        <f t="shared" si="70"/>
        <v>0</v>
      </c>
      <c r="BC78" s="25">
        <f t="shared" si="86"/>
        <v>0</v>
      </c>
      <c r="BD78" s="25">
        <f t="shared" si="86"/>
        <v>0</v>
      </c>
      <c r="BE78" s="25">
        <f t="shared" si="86"/>
        <v>0</v>
      </c>
      <c r="BF78" s="25">
        <f t="shared" si="86"/>
        <v>0</v>
      </c>
      <c r="BG78" s="25">
        <f t="shared" si="86"/>
        <v>0</v>
      </c>
      <c r="BH78" s="25">
        <f t="shared" si="86"/>
        <v>0</v>
      </c>
      <c r="BI78" s="25">
        <f t="shared" si="86"/>
        <v>0</v>
      </c>
      <c r="BJ78" s="25">
        <f t="shared" si="86"/>
        <v>0</v>
      </c>
      <c r="BK78" s="25">
        <f t="shared" si="86"/>
        <v>0</v>
      </c>
      <c r="BL78" s="25">
        <f t="shared" si="86"/>
        <v>0</v>
      </c>
      <c r="BM78" s="25">
        <f t="shared" si="86"/>
        <v>0</v>
      </c>
      <c r="BN78" s="25">
        <f t="shared" si="86"/>
        <v>0</v>
      </c>
      <c r="BO78" s="25"/>
      <c r="BP78" s="25"/>
      <c r="BQ78" s="25">
        <f t="shared" si="72"/>
        <v>0</v>
      </c>
      <c r="BR78" s="25">
        <f t="shared" si="87"/>
        <v>0</v>
      </c>
      <c r="BS78" s="27">
        <f t="shared" si="84"/>
        <v>1</v>
      </c>
      <c r="BT78" s="25">
        <f t="shared" si="74"/>
        <v>10000000</v>
      </c>
      <c r="BU78" s="25"/>
      <c r="BV78" s="25"/>
      <c r="BW78" s="25"/>
      <c r="BX78" s="25"/>
      <c r="BY78" s="25">
        <f>+'[6]JULIO 2016'!$H$2297</f>
        <v>10000000</v>
      </c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7">
        <f t="shared" si="75"/>
        <v>0</v>
      </c>
      <c r="CP78" s="25">
        <f t="shared" si="76"/>
        <v>0</v>
      </c>
      <c r="CQ78" s="25">
        <f t="shared" si="91"/>
        <v>0</v>
      </c>
      <c r="CR78" s="25">
        <f t="shared" si="91"/>
        <v>0</v>
      </c>
      <c r="CS78" s="25">
        <f t="shared" si="91"/>
        <v>0</v>
      </c>
      <c r="CT78" s="25">
        <f t="shared" si="91"/>
        <v>0</v>
      </c>
      <c r="CU78" s="25">
        <f t="shared" si="91"/>
        <v>0</v>
      </c>
      <c r="CV78" s="25">
        <f t="shared" si="91"/>
        <v>0</v>
      </c>
      <c r="CW78" s="25">
        <f t="shared" ref="CW78:CY82" si="92">+N78-CB78</f>
        <v>0</v>
      </c>
      <c r="CX78" s="25">
        <f t="shared" si="92"/>
        <v>0</v>
      </c>
      <c r="CY78" s="25">
        <f t="shared" si="92"/>
        <v>0</v>
      </c>
      <c r="CZ78" s="25">
        <f t="shared" si="79"/>
        <v>0</v>
      </c>
      <c r="DA78" s="25">
        <f t="shared" si="79"/>
        <v>0</v>
      </c>
      <c r="DB78" s="25">
        <f t="shared" si="79"/>
        <v>0</v>
      </c>
      <c r="DC78" s="25">
        <f t="shared" si="89"/>
        <v>0</v>
      </c>
      <c r="DD78" s="25">
        <f t="shared" si="89"/>
        <v>0</v>
      </c>
      <c r="DE78" s="25">
        <f t="shared" si="89"/>
        <v>0</v>
      </c>
      <c r="DF78" s="25"/>
      <c r="DG78" s="25">
        <f t="shared" ref="DG78:DH82" si="93">+X78-CL78</f>
        <v>0</v>
      </c>
      <c r="DH78" s="56">
        <f t="shared" si="93"/>
        <v>0</v>
      </c>
      <c r="DI78" s="25">
        <f t="shared" si="90"/>
        <v>0</v>
      </c>
    </row>
    <row r="79" spans="1:113" ht="30.75" customHeight="1" x14ac:dyDescent="0.25">
      <c r="A79" s="184"/>
      <c r="B79" s="188"/>
      <c r="C79" s="21" t="s">
        <v>230</v>
      </c>
      <c r="D79" s="22" t="s">
        <v>231</v>
      </c>
      <c r="E79" s="23">
        <v>520</v>
      </c>
      <c r="F79" s="24" t="s">
        <v>91</v>
      </c>
      <c r="G79" s="25">
        <f>SUM(H79:Z79)</f>
        <v>10000000</v>
      </c>
      <c r="H79" s="36"/>
      <c r="I79" s="36"/>
      <c r="J79" s="36"/>
      <c r="K79" s="25">
        <v>10000000</v>
      </c>
      <c r="L79" s="36"/>
      <c r="M79" s="36"/>
      <c r="N79" s="36"/>
      <c r="O79" s="36"/>
      <c r="P79" s="36"/>
      <c r="Q79" s="30"/>
      <c r="R79" s="36"/>
      <c r="S79" s="49"/>
      <c r="T79" s="36"/>
      <c r="U79" s="36"/>
      <c r="V79" s="36"/>
      <c r="W79" s="36"/>
      <c r="X79" s="36"/>
      <c r="Y79" s="36"/>
      <c r="Z79" s="66"/>
      <c r="AA79" s="59"/>
      <c r="AB79" s="27">
        <f t="shared" si="82"/>
        <v>1</v>
      </c>
      <c r="AC79" s="25">
        <f t="shared" si="68"/>
        <v>10000000</v>
      </c>
      <c r="AD79" s="25"/>
      <c r="AE79" s="25"/>
      <c r="AF79" s="25"/>
      <c r="AG79" s="25"/>
      <c r="AH79" s="25">
        <f>+'[6]JULIO 2016'!$O$2306</f>
        <v>10000000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7">
        <f t="shared" si="83"/>
        <v>0</v>
      </c>
      <c r="AY79" s="25">
        <f t="shared" si="69"/>
        <v>0</v>
      </c>
      <c r="AZ79" s="25">
        <f t="shared" si="70"/>
        <v>0</v>
      </c>
      <c r="BA79" s="25">
        <f t="shared" si="70"/>
        <v>0</v>
      </c>
      <c r="BB79" s="25">
        <f t="shared" si="70"/>
        <v>0</v>
      </c>
      <c r="BC79" s="25">
        <f t="shared" si="86"/>
        <v>0</v>
      </c>
      <c r="BD79" s="25">
        <f t="shared" si="86"/>
        <v>0</v>
      </c>
      <c r="BE79" s="25">
        <f t="shared" si="86"/>
        <v>0</v>
      </c>
      <c r="BF79" s="25">
        <f t="shared" si="86"/>
        <v>0</v>
      </c>
      <c r="BG79" s="25">
        <f t="shared" si="86"/>
        <v>0</v>
      </c>
      <c r="BH79" s="25">
        <f t="shared" si="86"/>
        <v>0</v>
      </c>
      <c r="BI79" s="25">
        <f t="shared" si="86"/>
        <v>0</v>
      </c>
      <c r="BJ79" s="25">
        <f t="shared" si="86"/>
        <v>0</v>
      </c>
      <c r="BK79" s="25">
        <f t="shared" si="86"/>
        <v>0</v>
      </c>
      <c r="BL79" s="25">
        <f t="shared" si="86"/>
        <v>0</v>
      </c>
      <c r="BM79" s="25">
        <f t="shared" si="86"/>
        <v>0</v>
      </c>
      <c r="BN79" s="25">
        <f t="shared" si="86"/>
        <v>0</v>
      </c>
      <c r="BO79" s="25"/>
      <c r="BP79" s="25"/>
      <c r="BQ79" s="25">
        <f t="shared" si="72"/>
        <v>0</v>
      </c>
      <c r="BR79" s="25">
        <f t="shared" si="87"/>
        <v>0</v>
      </c>
      <c r="BS79" s="27">
        <f t="shared" si="84"/>
        <v>0</v>
      </c>
      <c r="BT79" s="25">
        <f t="shared" si="74"/>
        <v>0</v>
      </c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7">
        <f t="shared" si="75"/>
        <v>1</v>
      </c>
      <c r="CP79" s="25">
        <f t="shared" si="76"/>
        <v>10000000</v>
      </c>
      <c r="CQ79" s="25">
        <f t="shared" si="91"/>
        <v>0</v>
      </c>
      <c r="CR79" s="25">
        <f t="shared" si="91"/>
        <v>0</v>
      </c>
      <c r="CS79" s="25">
        <f t="shared" si="91"/>
        <v>0</v>
      </c>
      <c r="CT79" s="25">
        <f t="shared" si="91"/>
        <v>10000000</v>
      </c>
      <c r="CU79" s="25">
        <f t="shared" si="91"/>
        <v>0</v>
      </c>
      <c r="CV79" s="25">
        <f t="shared" si="91"/>
        <v>0</v>
      </c>
      <c r="CW79" s="25">
        <f t="shared" si="92"/>
        <v>0</v>
      </c>
      <c r="CX79" s="25">
        <f t="shared" si="92"/>
        <v>0</v>
      </c>
      <c r="CY79" s="25">
        <f t="shared" si="92"/>
        <v>0</v>
      </c>
      <c r="CZ79" s="25">
        <f t="shared" si="79"/>
        <v>0</v>
      </c>
      <c r="DA79" s="25">
        <f t="shared" si="79"/>
        <v>0</v>
      </c>
      <c r="DB79" s="25">
        <f t="shared" si="79"/>
        <v>0</v>
      </c>
      <c r="DC79" s="25">
        <f t="shared" si="89"/>
        <v>0</v>
      </c>
      <c r="DD79" s="25">
        <f t="shared" si="89"/>
        <v>0</v>
      </c>
      <c r="DE79" s="25">
        <f t="shared" si="89"/>
        <v>0</v>
      </c>
      <c r="DF79" s="25"/>
      <c r="DG79" s="25">
        <f t="shared" si="93"/>
        <v>0</v>
      </c>
      <c r="DH79" s="56">
        <f t="shared" si="93"/>
        <v>0</v>
      </c>
      <c r="DI79" s="25">
        <f t="shared" si="90"/>
        <v>0</v>
      </c>
    </row>
    <row r="80" spans="1:113" ht="35.25" customHeight="1" x14ac:dyDescent="0.25">
      <c r="A80" s="184"/>
      <c r="B80" s="186" t="s">
        <v>232</v>
      </c>
      <c r="C80" s="21" t="s">
        <v>233</v>
      </c>
      <c r="D80" s="67" t="s">
        <v>234</v>
      </c>
      <c r="E80" s="23">
        <v>520</v>
      </c>
      <c r="F80" s="68" t="s">
        <v>91</v>
      </c>
      <c r="G80" s="25">
        <f t="shared" si="67"/>
        <v>15000000</v>
      </c>
      <c r="H80" s="36"/>
      <c r="I80" s="36"/>
      <c r="J80" s="36"/>
      <c r="K80" s="49">
        <v>10000000</v>
      </c>
      <c r="L80" s="36"/>
      <c r="M80" s="36"/>
      <c r="N80" s="36"/>
      <c r="O80" s="36"/>
      <c r="P80" s="36"/>
      <c r="Q80" s="30"/>
      <c r="R80" s="36"/>
      <c r="S80" s="49">
        <f>25000000-20000000</f>
        <v>5000000</v>
      </c>
      <c r="T80" s="36"/>
      <c r="U80" s="36"/>
      <c r="V80" s="36"/>
      <c r="W80" s="36"/>
      <c r="X80" s="36"/>
      <c r="Y80" s="36"/>
      <c r="Z80" s="66"/>
      <c r="AA80" s="59"/>
      <c r="AB80" s="27">
        <f t="shared" si="82"/>
        <v>0.97333333333333338</v>
      </c>
      <c r="AC80" s="25">
        <f t="shared" si="68"/>
        <v>14600000</v>
      </c>
      <c r="AD80" s="25"/>
      <c r="AE80" s="25"/>
      <c r="AF80" s="25"/>
      <c r="AG80" s="25"/>
      <c r="AH80" s="25">
        <f>+'[4]ENERO 2016'!$O$816</f>
        <v>10000000</v>
      </c>
      <c r="AI80" s="25"/>
      <c r="AJ80" s="25"/>
      <c r="AK80" s="25"/>
      <c r="AL80" s="25"/>
      <c r="AM80" s="25"/>
      <c r="AN80" s="25"/>
      <c r="AO80" s="25"/>
      <c r="AP80" s="25">
        <f>+'[1]AGOSTO 2016'!$W$2973</f>
        <v>4600000</v>
      </c>
      <c r="AQ80" s="25"/>
      <c r="AR80" s="25"/>
      <c r="AS80" s="25"/>
      <c r="AT80" s="25"/>
      <c r="AU80" s="25"/>
      <c r="AV80" s="25"/>
      <c r="AW80" s="25"/>
      <c r="AX80" s="27">
        <f t="shared" si="83"/>
        <v>2.6666666666666616E-2</v>
      </c>
      <c r="AY80" s="25">
        <f t="shared" si="69"/>
        <v>400000</v>
      </c>
      <c r="AZ80" s="25">
        <f t="shared" si="70"/>
        <v>0</v>
      </c>
      <c r="BA80" s="25">
        <f t="shared" si="70"/>
        <v>0</v>
      </c>
      <c r="BB80" s="25">
        <f t="shared" si="70"/>
        <v>0</v>
      </c>
      <c r="BC80" s="25">
        <f t="shared" si="86"/>
        <v>0</v>
      </c>
      <c r="BD80" s="25">
        <f t="shared" si="86"/>
        <v>0</v>
      </c>
      <c r="BE80" s="25">
        <f t="shared" si="86"/>
        <v>0</v>
      </c>
      <c r="BF80" s="25">
        <f t="shared" si="86"/>
        <v>0</v>
      </c>
      <c r="BG80" s="25">
        <f t="shared" si="86"/>
        <v>0</v>
      </c>
      <c r="BH80" s="25">
        <f t="shared" si="86"/>
        <v>0</v>
      </c>
      <c r="BI80" s="25">
        <f t="shared" si="86"/>
        <v>0</v>
      </c>
      <c r="BJ80" s="25">
        <f t="shared" si="86"/>
        <v>0</v>
      </c>
      <c r="BK80" s="25">
        <f t="shared" si="86"/>
        <v>400000</v>
      </c>
      <c r="BL80" s="25">
        <f t="shared" si="86"/>
        <v>0</v>
      </c>
      <c r="BM80" s="25">
        <f t="shared" si="86"/>
        <v>0</v>
      </c>
      <c r="BN80" s="25">
        <f t="shared" si="86"/>
        <v>0</v>
      </c>
      <c r="BO80" s="25"/>
      <c r="BP80" s="25"/>
      <c r="BQ80" s="25">
        <f t="shared" si="72"/>
        <v>0</v>
      </c>
      <c r="BR80" s="25">
        <f t="shared" si="87"/>
        <v>0</v>
      </c>
      <c r="BS80" s="27">
        <f t="shared" si="84"/>
        <v>0.97333333333333338</v>
      </c>
      <c r="BT80" s="25">
        <f t="shared" si="74"/>
        <v>14600000</v>
      </c>
      <c r="BU80" s="25"/>
      <c r="BV80" s="25"/>
      <c r="BW80" s="25"/>
      <c r="BX80" s="25"/>
      <c r="BY80" s="25">
        <v>10000000</v>
      </c>
      <c r="BZ80" s="25"/>
      <c r="CA80" s="25"/>
      <c r="CB80" s="25"/>
      <c r="CC80" s="25"/>
      <c r="CD80" s="25"/>
      <c r="CE80" s="25"/>
      <c r="CF80" s="25"/>
      <c r="CG80" s="25">
        <f>+'[1]AGOSTO 2016'!$W$2973</f>
        <v>4600000</v>
      </c>
      <c r="CH80" s="25"/>
      <c r="CI80" s="25"/>
      <c r="CJ80" s="25"/>
      <c r="CK80" s="25"/>
      <c r="CL80" s="25"/>
      <c r="CM80" s="25"/>
      <c r="CN80" s="25"/>
      <c r="CO80" s="27">
        <f t="shared" si="75"/>
        <v>2.6666666666666616E-2</v>
      </c>
      <c r="CP80" s="25">
        <f t="shared" si="76"/>
        <v>400000</v>
      </c>
      <c r="CQ80" s="25">
        <f t="shared" si="91"/>
        <v>0</v>
      </c>
      <c r="CR80" s="25">
        <f t="shared" si="91"/>
        <v>0</v>
      </c>
      <c r="CS80" s="25">
        <f t="shared" si="91"/>
        <v>0</v>
      </c>
      <c r="CT80" s="25">
        <f t="shared" si="91"/>
        <v>0</v>
      </c>
      <c r="CU80" s="25">
        <f t="shared" si="91"/>
        <v>0</v>
      </c>
      <c r="CV80" s="25">
        <f t="shared" si="91"/>
        <v>0</v>
      </c>
      <c r="CW80" s="25">
        <f t="shared" si="92"/>
        <v>0</v>
      </c>
      <c r="CX80" s="25">
        <f t="shared" si="92"/>
        <v>0</v>
      </c>
      <c r="CY80" s="25">
        <f t="shared" si="92"/>
        <v>0</v>
      </c>
      <c r="CZ80" s="25">
        <f t="shared" si="79"/>
        <v>0</v>
      </c>
      <c r="DA80" s="25">
        <f t="shared" si="79"/>
        <v>0</v>
      </c>
      <c r="DB80" s="25">
        <f t="shared" si="79"/>
        <v>400000</v>
      </c>
      <c r="DC80" s="25">
        <f t="shared" si="89"/>
        <v>0</v>
      </c>
      <c r="DD80" s="25">
        <f t="shared" si="89"/>
        <v>0</v>
      </c>
      <c r="DE80" s="25">
        <f t="shared" si="89"/>
        <v>0</v>
      </c>
      <c r="DF80" s="25"/>
      <c r="DG80" s="25">
        <f t="shared" si="93"/>
        <v>0</v>
      </c>
      <c r="DH80" s="56">
        <f t="shared" si="93"/>
        <v>0</v>
      </c>
      <c r="DI80" s="25">
        <f t="shared" si="90"/>
        <v>0</v>
      </c>
    </row>
    <row r="81" spans="1:113" ht="30" x14ac:dyDescent="0.25">
      <c r="A81" s="184"/>
      <c r="B81" s="187"/>
      <c r="C81" s="21" t="s">
        <v>235</v>
      </c>
      <c r="D81" s="67" t="s">
        <v>236</v>
      </c>
      <c r="E81" s="23">
        <v>520</v>
      </c>
      <c r="F81" s="68" t="s">
        <v>91</v>
      </c>
      <c r="G81" s="25">
        <f t="shared" si="67"/>
        <v>20000000</v>
      </c>
      <c r="H81" s="36"/>
      <c r="I81" s="36"/>
      <c r="J81" s="36"/>
      <c r="K81" s="49">
        <v>10000000</v>
      </c>
      <c r="L81" s="36"/>
      <c r="M81" s="36"/>
      <c r="N81" s="36"/>
      <c r="O81" s="36"/>
      <c r="P81" s="36"/>
      <c r="Q81" s="30"/>
      <c r="R81" s="36"/>
      <c r="S81" s="49">
        <v>10000000</v>
      </c>
      <c r="T81" s="36"/>
      <c r="U81" s="36"/>
      <c r="V81" s="36"/>
      <c r="W81" s="36"/>
      <c r="X81" s="36"/>
      <c r="Y81" s="36"/>
      <c r="Z81" s="66"/>
      <c r="AA81" s="59"/>
      <c r="AB81" s="27">
        <f t="shared" si="82"/>
        <v>0.22963120000000001</v>
      </c>
      <c r="AC81" s="25">
        <f t="shared" si="68"/>
        <v>4592624</v>
      </c>
      <c r="AD81" s="25"/>
      <c r="AE81" s="25"/>
      <c r="AF81" s="25"/>
      <c r="AG81" s="25"/>
      <c r="AH81" s="25">
        <f>+'[6]JULIO 2016'!$O$2320</f>
        <v>4592624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7">
        <f t="shared" si="83"/>
        <v>0.77036879999999996</v>
      </c>
      <c r="AY81" s="25">
        <f t="shared" si="69"/>
        <v>15407376</v>
      </c>
      <c r="AZ81" s="25">
        <f t="shared" si="70"/>
        <v>0</v>
      </c>
      <c r="BA81" s="25">
        <f t="shared" si="70"/>
        <v>0</v>
      </c>
      <c r="BB81" s="25">
        <f t="shared" si="70"/>
        <v>0</v>
      </c>
      <c r="BC81" s="25">
        <f t="shared" si="86"/>
        <v>5407376</v>
      </c>
      <c r="BD81" s="25">
        <f t="shared" si="86"/>
        <v>0</v>
      </c>
      <c r="BE81" s="25">
        <f t="shared" si="86"/>
        <v>0</v>
      </c>
      <c r="BF81" s="25">
        <f t="shared" si="86"/>
        <v>0</v>
      </c>
      <c r="BG81" s="25">
        <f t="shared" si="86"/>
        <v>0</v>
      </c>
      <c r="BH81" s="25">
        <f t="shared" si="86"/>
        <v>0</v>
      </c>
      <c r="BI81" s="25">
        <f t="shared" si="86"/>
        <v>0</v>
      </c>
      <c r="BJ81" s="25">
        <f t="shared" si="86"/>
        <v>0</v>
      </c>
      <c r="BK81" s="25">
        <f t="shared" si="86"/>
        <v>10000000</v>
      </c>
      <c r="BL81" s="25">
        <f t="shared" si="86"/>
        <v>0</v>
      </c>
      <c r="BM81" s="25">
        <f t="shared" si="86"/>
        <v>0</v>
      </c>
      <c r="BN81" s="25">
        <f t="shared" si="86"/>
        <v>0</v>
      </c>
      <c r="BO81" s="25"/>
      <c r="BP81" s="25"/>
      <c r="BQ81" s="25">
        <f t="shared" si="72"/>
        <v>0</v>
      </c>
      <c r="BR81" s="25">
        <f t="shared" si="87"/>
        <v>0</v>
      </c>
      <c r="BS81" s="27">
        <f t="shared" si="84"/>
        <v>0.22963120000000001</v>
      </c>
      <c r="BT81" s="25">
        <f t="shared" si="74"/>
        <v>4592624</v>
      </c>
      <c r="BU81" s="25"/>
      <c r="BV81" s="25"/>
      <c r="BW81" s="25"/>
      <c r="BX81" s="25"/>
      <c r="BY81" s="25">
        <f>+'[1]AGOSTO 2016'!$H$2978</f>
        <v>4592624</v>
      </c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7">
        <f t="shared" si="75"/>
        <v>0.77036879999999996</v>
      </c>
      <c r="CP81" s="25">
        <f t="shared" si="76"/>
        <v>15407376</v>
      </c>
      <c r="CQ81" s="25">
        <f t="shared" si="91"/>
        <v>0</v>
      </c>
      <c r="CR81" s="25">
        <f t="shared" si="91"/>
        <v>0</v>
      </c>
      <c r="CS81" s="25">
        <f t="shared" si="91"/>
        <v>0</v>
      </c>
      <c r="CT81" s="25">
        <f t="shared" si="91"/>
        <v>5407376</v>
      </c>
      <c r="CU81" s="25">
        <f t="shared" si="91"/>
        <v>0</v>
      </c>
      <c r="CV81" s="25">
        <f t="shared" si="91"/>
        <v>0</v>
      </c>
      <c r="CW81" s="25">
        <f t="shared" si="92"/>
        <v>0</v>
      </c>
      <c r="CX81" s="25">
        <f t="shared" si="92"/>
        <v>0</v>
      </c>
      <c r="CY81" s="25">
        <f t="shared" si="92"/>
        <v>0</v>
      </c>
      <c r="CZ81" s="25">
        <f t="shared" si="79"/>
        <v>0</v>
      </c>
      <c r="DA81" s="25">
        <f t="shared" si="79"/>
        <v>0</v>
      </c>
      <c r="DB81" s="25">
        <f t="shared" si="79"/>
        <v>10000000</v>
      </c>
      <c r="DC81" s="25">
        <f t="shared" si="89"/>
        <v>0</v>
      </c>
      <c r="DD81" s="25">
        <f t="shared" si="89"/>
        <v>0</v>
      </c>
      <c r="DE81" s="25">
        <f t="shared" si="89"/>
        <v>0</v>
      </c>
      <c r="DF81" s="25"/>
      <c r="DG81" s="25">
        <f t="shared" si="93"/>
        <v>0</v>
      </c>
      <c r="DH81" s="56">
        <f t="shared" si="93"/>
        <v>0</v>
      </c>
      <c r="DI81" s="25">
        <f t="shared" si="90"/>
        <v>0</v>
      </c>
    </row>
    <row r="82" spans="1:113" ht="30.75" customHeight="1" x14ac:dyDescent="0.25">
      <c r="A82" s="184"/>
      <c r="B82" s="187"/>
      <c r="C82" s="21" t="s">
        <v>237</v>
      </c>
      <c r="D82" s="67" t="s">
        <v>238</v>
      </c>
      <c r="E82" s="23">
        <v>520</v>
      </c>
      <c r="F82" s="68" t="s">
        <v>91</v>
      </c>
      <c r="G82" s="25">
        <f t="shared" si="67"/>
        <v>5000000</v>
      </c>
      <c r="H82" s="36"/>
      <c r="I82" s="36"/>
      <c r="J82" s="36"/>
      <c r="K82" s="25">
        <v>1098558</v>
      </c>
      <c r="L82" s="36"/>
      <c r="M82" s="36"/>
      <c r="N82" s="36"/>
      <c r="O82" s="36"/>
      <c r="P82" s="36"/>
      <c r="Q82" s="30"/>
      <c r="R82" s="36"/>
      <c r="S82" s="49">
        <f>48901442-45000000</f>
        <v>3901442</v>
      </c>
      <c r="T82" s="36"/>
      <c r="U82" s="36"/>
      <c r="V82" s="36"/>
      <c r="W82" s="36"/>
      <c r="X82" s="36"/>
      <c r="Y82" s="36"/>
      <c r="Z82" s="66"/>
      <c r="AA82" s="59"/>
      <c r="AB82" s="27">
        <f t="shared" si="82"/>
        <v>0</v>
      </c>
      <c r="AC82" s="25">
        <f t="shared" si="68"/>
        <v>0</v>
      </c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7">
        <f t="shared" si="83"/>
        <v>1</v>
      </c>
      <c r="AY82" s="25">
        <f t="shared" si="69"/>
        <v>5000000</v>
      </c>
      <c r="AZ82" s="25">
        <f t="shared" si="70"/>
        <v>0</v>
      </c>
      <c r="BA82" s="25">
        <f t="shared" si="70"/>
        <v>0</v>
      </c>
      <c r="BB82" s="25">
        <f t="shared" si="70"/>
        <v>0</v>
      </c>
      <c r="BC82" s="25">
        <f t="shared" si="86"/>
        <v>1098558</v>
      </c>
      <c r="BD82" s="25">
        <f t="shared" si="86"/>
        <v>0</v>
      </c>
      <c r="BE82" s="25">
        <f t="shared" si="86"/>
        <v>0</v>
      </c>
      <c r="BF82" s="25">
        <f t="shared" si="86"/>
        <v>0</v>
      </c>
      <c r="BG82" s="25">
        <f t="shared" si="86"/>
        <v>0</v>
      </c>
      <c r="BH82" s="25">
        <f t="shared" si="86"/>
        <v>0</v>
      </c>
      <c r="BI82" s="25">
        <f t="shared" si="86"/>
        <v>0</v>
      </c>
      <c r="BJ82" s="25">
        <f t="shared" si="86"/>
        <v>0</v>
      </c>
      <c r="BK82" s="25">
        <f t="shared" si="86"/>
        <v>3901442</v>
      </c>
      <c r="BL82" s="25">
        <f t="shared" si="86"/>
        <v>0</v>
      </c>
      <c r="BM82" s="25">
        <f t="shared" si="86"/>
        <v>0</v>
      </c>
      <c r="BN82" s="25">
        <f t="shared" si="86"/>
        <v>0</v>
      </c>
      <c r="BO82" s="25"/>
      <c r="BP82" s="25"/>
      <c r="BQ82" s="25">
        <f t="shared" si="72"/>
        <v>0</v>
      </c>
      <c r="BR82" s="25">
        <f t="shared" si="87"/>
        <v>0</v>
      </c>
      <c r="BS82" s="27">
        <f t="shared" si="84"/>
        <v>0</v>
      </c>
      <c r="BT82" s="25">
        <f t="shared" si="74"/>
        <v>0</v>
      </c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7">
        <f t="shared" si="75"/>
        <v>1</v>
      </c>
      <c r="CP82" s="25">
        <f t="shared" si="76"/>
        <v>5000000</v>
      </c>
      <c r="CQ82" s="25">
        <f t="shared" si="91"/>
        <v>0</v>
      </c>
      <c r="CR82" s="25">
        <f t="shared" si="91"/>
        <v>0</v>
      </c>
      <c r="CS82" s="25">
        <f t="shared" si="91"/>
        <v>0</v>
      </c>
      <c r="CT82" s="25">
        <f t="shared" si="91"/>
        <v>1098558</v>
      </c>
      <c r="CU82" s="25">
        <f t="shared" si="91"/>
        <v>0</v>
      </c>
      <c r="CV82" s="25">
        <f t="shared" si="91"/>
        <v>0</v>
      </c>
      <c r="CW82" s="25">
        <f t="shared" si="92"/>
        <v>0</v>
      </c>
      <c r="CX82" s="25">
        <f t="shared" si="92"/>
        <v>0</v>
      </c>
      <c r="CY82" s="25">
        <f t="shared" si="92"/>
        <v>0</v>
      </c>
      <c r="CZ82" s="25">
        <f t="shared" si="79"/>
        <v>0</v>
      </c>
      <c r="DA82" s="25">
        <f t="shared" si="79"/>
        <v>0</v>
      </c>
      <c r="DB82" s="25">
        <f t="shared" si="79"/>
        <v>3901442</v>
      </c>
      <c r="DC82" s="25">
        <f t="shared" si="89"/>
        <v>0</v>
      </c>
      <c r="DD82" s="25">
        <f t="shared" si="89"/>
        <v>0</v>
      </c>
      <c r="DE82" s="25">
        <f t="shared" si="89"/>
        <v>0</v>
      </c>
      <c r="DF82" s="25"/>
      <c r="DG82" s="25">
        <f t="shared" si="93"/>
        <v>0</v>
      </c>
      <c r="DH82" s="56">
        <f t="shared" si="93"/>
        <v>0</v>
      </c>
      <c r="DI82" s="25">
        <f t="shared" si="90"/>
        <v>0</v>
      </c>
    </row>
    <row r="83" spans="1:113" ht="21" customHeight="1" x14ac:dyDescent="0.25">
      <c r="A83" s="184"/>
      <c r="B83" s="188"/>
      <c r="C83" s="21" t="s">
        <v>239</v>
      </c>
      <c r="D83" s="67" t="s">
        <v>240</v>
      </c>
      <c r="E83" s="23">
        <v>520</v>
      </c>
      <c r="F83" s="68" t="s">
        <v>91</v>
      </c>
      <c r="G83" s="25">
        <f t="shared" si="67"/>
        <v>20000000</v>
      </c>
      <c r="H83" s="36"/>
      <c r="I83" s="36"/>
      <c r="J83" s="36"/>
      <c r="K83" s="25">
        <v>10000000</v>
      </c>
      <c r="L83" s="36"/>
      <c r="M83" s="36"/>
      <c r="N83" s="36"/>
      <c r="O83" s="36"/>
      <c r="P83" s="36"/>
      <c r="Q83" s="30"/>
      <c r="R83" s="36"/>
      <c r="S83" s="49">
        <v>10000000</v>
      </c>
      <c r="T83" s="36"/>
      <c r="U83" s="36"/>
      <c r="V83" s="36"/>
      <c r="W83" s="36"/>
      <c r="X83" s="36"/>
      <c r="Y83" s="36"/>
      <c r="Z83" s="66"/>
      <c r="AA83" s="59"/>
      <c r="AB83" s="27">
        <f t="shared" si="82"/>
        <v>0.72813795000000003</v>
      </c>
      <c r="AC83" s="25">
        <f t="shared" si="68"/>
        <v>14562759</v>
      </c>
      <c r="AD83" s="25"/>
      <c r="AE83" s="25"/>
      <c r="AF83" s="25"/>
      <c r="AG83" s="25"/>
      <c r="AH83" s="25">
        <f>+'[3]ABRIL 2016'!$O$1609</f>
        <v>9950000</v>
      </c>
      <c r="AI83" s="25"/>
      <c r="AJ83" s="25"/>
      <c r="AK83" s="25"/>
      <c r="AL83" s="25"/>
      <c r="AM83" s="25"/>
      <c r="AN83" s="25"/>
      <c r="AO83" s="25"/>
      <c r="AP83" s="25">
        <f>+'[1]AGOSTO 2016'!$W$2993</f>
        <v>4612759</v>
      </c>
      <c r="AQ83" s="25"/>
      <c r="AR83" s="25"/>
      <c r="AS83" s="25"/>
      <c r="AT83" s="25"/>
      <c r="AU83" s="25"/>
      <c r="AV83" s="25"/>
      <c r="AW83" s="25"/>
      <c r="AX83" s="27">
        <f t="shared" si="83"/>
        <v>0.27186204999999997</v>
      </c>
      <c r="AY83" s="25">
        <f t="shared" si="69"/>
        <v>5437241</v>
      </c>
      <c r="AZ83" s="25">
        <f t="shared" si="70"/>
        <v>0</v>
      </c>
      <c r="BA83" s="25">
        <f t="shared" si="70"/>
        <v>0</v>
      </c>
      <c r="BB83" s="25">
        <f t="shared" si="70"/>
        <v>0</v>
      </c>
      <c r="BC83" s="25">
        <f t="shared" si="86"/>
        <v>50000</v>
      </c>
      <c r="BD83" s="25">
        <f t="shared" si="86"/>
        <v>0</v>
      </c>
      <c r="BE83" s="25">
        <f t="shared" si="86"/>
        <v>0</v>
      </c>
      <c r="BF83" s="25">
        <f t="shared" si="86"/>
        <v>0</v>
      </c>
      <c r="BG83" s="25">
        <f t="shared" si="86"/>
        <v>0</v>
      </c>
      <c r="BH83" s="25">
        <f t="shared" si="86"/>
        <v>0</v>
      </c>
      <c r="BI83" s="25">
        <f t="shared" si="86"/>
        <v>0</v>
      </c>
      <c r="BJ83" s="25">
        <f t="shared" si="86"/>
        <v>0</v>
      </c>
      <c r="BK83" s="25">
        <f t="shared" si="86"/>
        <v>5387241</v>
      </c>
      <c r="BL83" s="25">
        <f t="shared" si="86"/>
        <v>0</v>
      </c>
      <c r="BM83" s="25">
        <f t="shared" si="86"/>
        <v>0</v>
      </c>
      <c r="BN83" s="25">
        <f t="shared" si="86"/>
        <v>0</v>
      </c>
      <c r="BO83" s="25"/>
      <c r="BP83" s="25">
        <f>+X83-AU83</f>
        <v>0</v>
      </c>
      <c r="BQ83" s="25">
        <f t="shared" si="72"/>
        <v>0</v>
      </c>
      <c r="BR83" s="25">
        <f t="shared" si="87"/>
        <v>0</v>
      </c>
      <c r="BS83" s="27">
        <f t="shared" si="84"/>
        <v>0.72813795000000003</v>
      </c>
      <c r="BT83" s="25">
        <f t="shared" si="74"/>
        <v>14562759</v>
      </c>
      <c r="BU83" s="25"/>
      <c r="BV83" s="25"/>
      <c r="BW83" s="25"/>
      <c r="BX83" s="25"/>
      <c r="BY83" s="25">
        <v>9950000</v>
      </c>
      <c r="BZ83" s="25"/>
      <c r="CA83" s="25"/>
      <c r="CB83" s="25"/>
      <c r="CC83" s="25"/>
      <c r="CD83" s="25"/>
      <c r="CE83" s="25"/>
      <c r="CF83" s="25"/>
      <c r="CG83" s="25">
        <f>+'[1]AGOSTO 2016'!$W$2993</f>
        <v>4612759</v>
      </c>
      <c r="CH83" s="25"/>
      <c r="CI83" s="25"/>
      <c r="CJ83" s="25"/>
      <c r="CK83" s="25"/>
      <c r="CL83" s="25"/>
      <c r="CM83" s="25"/>
      <c r="CN83" s="25"/>
      <c r="CO83" s="27">
        <f t="shared" si="75"/>
        <v>0.27186204999999997</v>
      </c>
      <c r="CP83" s="25">
        <f t="shared" si="76"/>
        <v>5437241</v>
      </c>
      <c r="CQ83" s="25">
        <f t="shared" si="91"/>
        <v>0</v>
      </c>
      <c r="CR83" s="25">
        <f t="shared" si="91"/>
        <v>0</v>
      </c>
      <c r="CS83" s="25">
        <f t="shared" si="91"/>
        <v>0</v>
      </c>
      <c r="CT83" s="25">
        <f t="shared" si="91"/>
        <v>50000</v>
      </c>
      <c r="CU83" s="25">
        <f t="shared" si="91"/>
        <v>0</v>
      </c>
      <c r="CV83" s="25">
        <f t="shared" si="91"/>
        <v>0</v>
      </c>
      <c r="CW83" s="25">
        <f>N83-CB83</f>
        <v>0</v>
      </c>
      <c r="CX83" s="25">
        <f>O83-CC83</f>
        <v>0</v>
      </c>
      <c r="CY83" s="25">
        <f>P83-CD83</f>
        <v>0</v>
      </c>
      <c r="CZ83" s="25">
        <f t="shared" si="79"/>
        <v>0</v>
      </c>
      <c r="DA83" s="25">
        <f t="shared" si="79"/>
        <v>0</v>
      </c>
      <c r="DB83" s="25">
        <f t="shared" si="79"/>
        <v>5387241</v>
      </c>
      <c r="DC83" s="25">
        <f>T83-CH83</f>
        <v>0</v>
      </c>
      <c r="DD83" s="25">
        <f>U83-CI83</f>
        <v>0</v>
      </c>
      <c r="DE83" s="25">
        <f>V83-CJ83</f>
        <v>0</v>
      </c>
      <c r="DF83" s="25"/>
      <c r="DG83" s="25">
        <f>X83-CL83</f>
        <v>0</v>
      </c>
      <c r="DH83" s="25">
        <f>Y83-CM83</f>
        <v>0</v>
      </c>
      <c r="DI83" s="25">
        <f>Z83-CN83</f>
        <v>0</v>
      </c>
    </row>
    <row r="84" spans="1:113" s="59" customFormat="1" ht="35.25" customHeight="1" x14ac:dyDescent="0.25">
      <c r="A84" s="184" t="s">
        <v>179</v>
      </c>
      <c r="B84" s="186" t="s">
        <v>241</v>
      </c>
      <c r="C84" s="69" t="s">
        <v>242</v>
      </c>
      <c r="D84" s="22" t="s">
        <v>243</v>
      </c>
      <c r="E84" s="154">
        <v>520</v>
      </c>
      <c r="F84" s="68" t="s">
        <v>91</v>
      </c>
      <c r="G84" s="25">
        <f t="shared" si="67"/>
        <v>6000000</v>
      </c>
      <c r="H84" s="30"/>
      <c r="I84" s="30"/>
      <c r="J84" s="30"/>
      <c r="K84" s="56">
        <v>6000000</v>
      </c>
      <c r="L84" s="30"/>
      <c r="M84" s="30"/>
      <c r="N84" s="30"/>
      <c r="O84" s="30"/>
      <c r="P84" s="30"/>
      <c r="Q84" s="30"/>
      <c r="R84" s="30"/>
      <c r="S84" s="49"/>
      <c r="T84" s="56"/>
      <c r="U84" s="56"/>
      <c r="V84" s="56"/>
      <c r="W84" s="56"/>
      <c r="X84" s="56"/>
      <c r="Y84" s="56"/>
      <c r="Z84" s="56"/>
      <c r="AB84" s="60">
        <f t="shared" si="82"/>
        <v>0</v>
      </c>
      <c r="AC84" s="25">
        <f t="shared" si="68"/>
        <v>0</v>
      </c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60">
        <f t="shared" si="83"/>
        <v>1</v>
      </c>
      <c r="AY84" s="25">
        <f t="shared" si="69"/>
        <v>6000000</v>
      </c>
      <c r="AZ84" s="56">
        <f t="shared" si="70"/>
        <v>0</v>
      </c>
      <c r="BA84" s="56">
        <f t="shared" si="70"/>
        <v>0</v>
      </c>
      <c r="BB84" s="25">
        <f t="shared" si="70"/>
        <v>0</v>
      </c>
      <c r="BC84" s="56">
        <f t="shared" si="86"/>
        <v>6000000</v>
      </c>
      <c r="BD84" s="56">
        <f t="shared" si="86"/>
        <v>0</v>
      </c>
      <c r="BE84" s="25">
        <f t="shared" si="86"/>
        <v>0</v>
      </c>
      <c r="BF84" s="56">
        <f t="shared" si="86"/>
        <v>0</v>
      </c>
      <c r="BG84" s="56">
        <f t="shared" si="86"/>
        <v>0</v>
      </c>
      <c r="BH84" s="25">
        <f t="shared" si="86"/>
        <v>0</v>
      </c>
      <c r="BI84" s="56">
        <f t="shared" si="86"/>
        <v>0</v>
      </c>
      <c r="BJ84" s="56">
        <f t="shared" si="86"/>
        <v>0</v>
      </c>
      <c r="BK84" s="56">
        <f t="shared" si="86"/>
        <v>0</v>
      </c>
      <c r="BL84" s="56">
        <f t="shared" si="86"/>
        <v>0</v>
      </c>
      <c r="BM84" s="56">
        <f t="shared" si="86"/>
        <v>0</v>
      </c>
      <c r="BN84" s="56">
        <f t="shared" si="86"/>
        <v>0</v>
      </c>
      <c r="BO84" s="56"/>
      <c r="BP84" s="56"/>
      <c r="BQ84" s="25">
        <f t="shared" si="72"/>
        <v>0</v>
      </c>
      <c r="BR84" s="56">
        <f t="shared" si="87"/>
        <v>0</v>
      </c>
      <c r="BS84" s="60">
        <f t="shared" si="84"/>
        <v>0</v>
      </c>
      <c r="BT84" s="25">
        <f t="shared" si="74"/>
        <v>0</v>
      </c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60">
        <f t="shared" si="75"/>
        <v>1</v>
      </c>
      <c r="CP84" s="25">
        <f t="shared" si="76"/>
        <v>6000000</v>
      </c>
      <c r="CQ84" s="25">
        <f t="shared" si="91"/>
        <v>0</v>
      </c>
      <c r="CR84" s="56">
        <f t="shared" si="91"/>
        <v>0</v>
      </c>
      <c r="CS84" s="25">
        <f t="shared" si="91"/>
        <v>0</v>
      </c>
      <c r="CT84" s="56">
        <f t="shared" si="91"/>
        <v>6000000</v>
      </c>
      <c r="CU84" s="56">
        <f t="shared" si="91"/>
        <v>0</v>
      </c>
      <c r="CV84" s="25">
        <f t="shared" si="91"/>
        <v>0</v>
      </c>
      <c r="CW84" s="56">
        <f t="shared" ref="CW84:DE90" si="94">+N84-CB84</f>
        <v>0</v>
      </c>
      <c r="CX84" s="56">
        <f t="shared" si="94"/>
        <v>0</v>
      </c>
      <c r="CY84" s="25">
        <f t="shared" si="94"/>
        <v>0</v>
      </c>
      <c r="CZ84" s="56">
        <f t="shared" si="79"/>
        <v>0</v>
      </c>
      <c r="DA84" s="56">
        <f t="shared" si="79"/>
        <v>0</v>
      </c>
      <c r="DB84" s="56">
        <f t="shared" si="79"/>
        <v>0</v>
      </c>
      <c r="DC84" s="56">
        <f>+T84-CH84</f>
        <v>0</v>
      </c>
      <c r="DD84" s="56">
        <f>+U84-CI84</f>
        <v>0</v>
      </c>
      <c r="DE84" s="56">
        <f>+V84-CJ84</f>
        <v>0</v>
      </c>
      <c r="DF84" s="56"/>
      <c r="DG84" s="56">
        <f>+X84-CL84</f>
        <v>0</v>
      </c>
      <c r="DH84" s="56">
        <f>+Y84-CM84</f>
        <v>0</v>
      </c>
      <c r="DI84" s="56">
        <f>+Z84-CN84</f>
        <v>0</v>
      </c>
    </row>
    <row r="85" spans="1:113" s="59" customFormat="1" ht="49.5" customHeight="1" x14ac:dyDescent="0.25">
      <c r="A85" s="184"/>
      <c r="B85" s="188"/>
      <c r="C85" s="69" t="s">
        <v>244</v>
      </c>
      <c r="D85" s="22" t="s">
        <v>245</v>
      </c>
      <c r="E85" s="154">
        <v>520</v>
      </c>
      <c r="F85" s="68" t="s">
        <v>91</v>
      </c>
      <c r="G85" s="25">
        <f t="shared" si="67"/>
        <v>6000000</v>
      </c>
      <c r="H85" s="30"/>
      <c r="I85" s="30"/>
      <c r="J85" s="30"/>
      <c r="K85" s="58">
        <v>6000000</v>
      </c>
      <c r="L85" s="30"/>
      <c r="M85" s="30"/>
      <c r="N85" s="30"/>
      <c r="O85" s="30"/>
      <c r="P85" s="30"/>
      <c r="Q85" s="30"/>
      <c r="R85" s="30"/>
      <c r="S85" s="49"/>
      <c r="T85" s="56"/>
      <c r="U85" s="56"/>
      <c r="V85" s="56"/>
      <c r="W85" s="56"/>
      <c r="X85" s="56"/>
      <c r="Y85" s="56"/>
      <c r="Z85" s="56"/>
      <c r="AB85" s="60">
        <f t="shared" si="82"/>
        <v>0</v>
      </c>
      <c r="AC85" s="25">
        <f t="shared" si="68"/>
        <v>0</v>
      </c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60">
        <f t="shared" si="83"/>
        <v>1</v>
      </c>
      <c r="AY85" s="25">
        <f t="shared" si="69"/>
        <v>6000000</v>
      </c>
      <c r="AZ85" s="56">
        <f t="shared" si="70"/>
        <v>0</v>
      </c>
      <c r="BA85" s="56">
        <f t="shared" si="70"/>
        <v>0</v>
      </c>
      <c r="BB85" s="25">
        <f t="shared" si="70"/>
        <v>0</v>
      </c>
      <c r="BC85" s="56">
        <f t="shared" si="86"/>
        <v>6000000</v>
      </c>
      <c r="BD85" s="56">
        <f t="shared" si="86"/>
        <v>0</v>
      </c>
      <c r="BE85" s="25">
        <f t="shared" si="86"/>
        <v>0</v>
      </c>
      <c r="BF85" s="56">
        <f t="shared" si="86"/>
        <v>0</v>
      </c>
      <c r="BG85" s="56">
        <f t="shared" si="86"/>
        <v>0</v>
      </c>
      <c r="BH85" s="25">
        <f t="shared" si="86"/>
        <v>0</v>
      </c>
      <c r="BI85" s="56">
        <f t="shared" si="86"/>
        <v>0</v>
      </c>
      <c r="BJ85" s="56">
        <f t="shared" si="86"/>
        <v>0</v>
      </c>
      <c r="BK85" s="56">
        <f t="shared" si="86"/>
        <v>0</v>
      </c>
      <c r="BL85" s="56">
        <f t="shared" si="86"/>
        <v>0</v>
      </c>
      <c r="BM85" s="56">
        <f t="shared" si="86"/>
        <v>0</v>
      </c>
      <c r="BN85" s="56">
        <f t="shared" si="86"/>
        <v>0</v>
      </c>
      <c r="BO85" s="56"/>
      <c r="BP85" s="56">
        <f>+X85-AU85</f>
        <v>0</v>
      </c>
      <c r="BQ85" s="25">
        <f t="shared" si="72"/>
        <v>0</v>
      </c>
      <c r="BR85" s="56">
        <f t="shared" si="87"/>
        <v>0</v>
      </c>
      <c r="BS85" s="60">
        <f t="shared" si="84"/>
        <v>0</v>
      </c>
      <c r="BT85" s="25">
        <f t="shared" si="74"/>
        <v>0</v>
      </c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60">
        <f t="shared" si="75"/>
        <v>1</v>
      </c>
      <c r="CP85" s="25">
        <f t="shared" si="76"/>
        <v>6000000</v>
      </c>
      <c r="CQ85" s="25">
        <f t="shared" si="91"/>
        <v>0</v>
      </c>
      <c r="CR85" s="56">
        <f t="shared" si="91"/>
        <v>0</v>
      </c>
      <c r="CS85" s="25">
        <f t="shared" si="91"/>
        <v>0</v>
      </c>
      <c r="CT85" s="56">
        <f t="shared" si="91"/>
        <v>6000000</v>
      </c>
      <c r="CU85" s="56">
        <f t="shared" si="91"/>
        <v>0</v>
      </c>
      <c r="CV85" s="25">
        <f t="shared" si="91"/>
        <v>0</v>
      </c>
      <c r="CW85" s="56">
        <f t="shared" si="94"/>
        <v>0</v>
      </c>
      <c r="CX85" s="56">
        <f t="shared" si="94"/>
        <v>0</v>
      </c>
      <c r="CY85" s="25">
        <f t="shared" si="94"/>
        <v>0</v>
      </c>
      <c r="CZ85" s="56">
        <f t="shared" si="79"/>
        <v>0</v>
      </c>
      <c r="DA85" s="56">
        <f t="shared" si="79"/>
        <v>0</v>
      </c>
      <c r="DB85" s="56">
        <f t="shared" si="79"/>
        <v>0</v>
      </c>
      <c r="DC85" s="56">
        <f>T85-CH85</f>
        <v>0</v>
      </c>
      <c r="DD85" s="56">
        <f>U85-CI85</f>
        <v>0</v>
      </c>
      <c r="DE85" s="56">
        <f>V85-CJ85</f>
        <v>0</v>
      </c>
      <c r="DF85" s="56"/>
      <c r="DG85" s="56">
        <f>X85-CL85</f>
        <v>0</v>
      </c>
      <c r="DH85" s="56">
        <f>Y85-CM85</f>
        <v>0</v>
      </c>
      <c r="DI85" s="56">
        <f>Z85-CN85</f>
        <v>0</v>
      </c>
    </row>
    <row r="86" spans="1:113" ht="33" customHeight="1" x14ac:dyDescent="0.25">
      <c r="A86" s="184"/>
      <c r="B86" s="186" t="s">
        <v>246</v>
      </c>
      <c r="C86" s="21" t="s">
        <v>247</v>
      </c>
      <c r="D86" s="22" t="s">
        <v>248</v>
      </c>
      <c r="E86" s="23">
        <v>520</v>
      </c>
      <c r="F86" s="68" t="s">
        <v>91</v>
      </c>
      <c r="G86" s="25">
        <f t="shared" si="67"/>
        <v>33106800</v>
      </c>
      <c r="H86" s="36"/>
      <c r="I86" s="25"/>
      <c r="J86" s="25"/>
      <c r="K86" s="58">
        <v>33106800</v>
      </c>
      <c r="L86" s="36"/>
      <c r="M86" s="36"/>
      <c r="N86" s="36"/>
      <c r="O86" s="36"/>
      <c r="P86" s="36"/>
      <c r="Q86" s="30"/>
      <c r="R86" s="36"/>
      <c r="S86" s="49"/>
      <c r="T86" s="25"/>
      <c r="U86" s="25"/>
      <c r="V86" s="25"/>
      <c r="W86" s="25"/>
      <c r="X86" s="25"/>
      <c r="Y86" s="25"/>
      <c r="Z86" s="25"/>
      <c r="AA86" s="59"/>
      <c r="AB86" s="27">
        <f t="shared" si="82"/>
        <v>1</v>
      </c>
      <c r="AC86" s="25">
        <f t="shared" si="68"/>
        <v>33106800</v>
      </c>
      <c r="AD86" s="25"/>
      <c r="AE86" s="25"/>
      <c r="AF86" s="25"/>
      <c r="AG86" s="25"/>
      <c r="AH86" s="25">
        <f>+'[4]ENERO 2016'!$O$848</f>
        <v>33106800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7">
        <f t="shared" si="83"/>
        <v>0</v>
      </c>
      <c r="AY86" s="25">
        <f t="shared" si="69"/>
        <v>0</v>
      </c>
      <c r="AZ86" s="25">
        <f t="shared" si="70"/>
        <v>0</v>
      </c>
      <c r="BA86" s="25">
        <f t="shared" si="70"/>
        <v>0</v>
      </c>
      <c r="BB86" s="25">
        <f t="shared" si="70"/>
        <v>0</v>
      </c>
      <c r="BC86" s="25">
        <f t="shared" si="86"/>
        <v>0</v>
      </c>
      <c r="BD86" s="25">
        <f t="shared" si="86"/>
        <v>0</v>
      </c>
      <c r="BE86" s="25">
        <f t="shared" si="86"/>
        <v>0</v>
      </c>
      <c r="BF86" s="56">
        <f t="shared" si="86"/>
        <v>0</v>
      </c>
      <c r="BG86" s="25">
        <f t="shared" si="86"/>
        <v>0</v>
      </c>
      <c r="BH86" s="25">
        <f t="shared" si="86"/>
        <v>0</v>
      </c>
      <c r="BI86" s="25">
        <f t="shared" si="86"/>
        <v>0</v>
      </c>
      <c r="BJ86" s="25">
        <f t="shared" si="86"/>
        <v>0</v>
      </c>
      <c r="BK86" s="25">
        <f t="shared" si="86"/>
        <v>0</v>
      </c>
      <c r="BL86" s="25">
        <f t="shared" si="86"/>
        <v>0</v>
      </c>
      <c r="BM86" s="25">
        <f t="shared" si="86"/>
        <v>0</v>
      </c>
      <c r="BN86" s="25">
        <f t="shared" si="86"/>
        <v>0</v>
      </c>
      <c r="BO86" s="25"/>
      <c r="BP86" s="25"/>
      <c r="BQ86" s="25">
        <f t="shared" si="72"/>
        <v>0</v>
      </c>
      <c r="BR86" s="25">
        <f t="shared" si="87"/>
        <v>0</v>
      </c>
      <c r="BS86" s="27">
        <f t="shared" si="84"/>
        <v>1</v>
      </c>
      <c r="BT86" s="25">
        <f t="shared" si="74"/>
        <v>33106800</v>
      </c>
      <c r="BU86" s="25"/>
      <c r="BV86" s="25"/>
      <c r="BW86" s="25"/>
      <c r="BX86" s="25"/>
      <c r="BY86" s="25">
        <f>+'[3]ABRIL 2016'!$H$1625</f>
        <v>33106800</v>
      </c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60">
        <f t="shared" si="75"/>
        <v>0</v>
      </c>
      <c r="CP86" s="25">
        <f t="shared" si="76"/>
        <v>0</v>
      </c>
      <c r="CQ86" s="25">
        <f t="shared" si="91"/>
        <v>0</v>
      </c>
      <c r="CR86" s="56">
        <f t="shared" si="91"/>
        <v>0</v>
      </c>
      <c r="CS86" s="25">
        <f t="shared" si="91"/>
        <v>0</v>
      </c>
      <c r="CT86" s="25">
        <f t="shared" si="91"/>
        <v>0</v>
      </c>
      <c r="CU86" s="56">
        <f t="shared" si="91"/>
        <v>0</v>
      </c>
      <c r="CV86" s="25">
        <f t="shared" si="91"/>
        <v>0</v>
      </c>
      <c r="CW86" s="56">
        <f t="shared" si="94"/>
        <v>0</v>
      </c>
      <c r="CX86" s="56">
        <f t="shared" si="94"/>
        <v>0</v>
      </c>
      <c r="CY86" s="25">
        <f t="shared" si="94"/>
        <v>0</v>
      </c>
      <c r="CZ86" s="56">
        <f t="shared" si="79"/>
        <v>0</v>
      </c>
      <c r="DA86" s="25">
        <f t="shared" si="79"/>
        <v>0</v>
      </c>
      <c r="DB86" s="25">
        <f t="shared" si="79"/>
        <v>0</v>
      </c>
      <c r="DC86" s="25">
        <f t="shared" ref="DC86:DE88" si="95">+T86-CH86</f>
        <v>0</v>
      </c>
      <c r="DD86" s="25">
        <f t="shared" si="95"/>
        <v>0</v>
      </c>
      <c r="DE86" s="25">
        <f t="shared" si="95"/>
        <v>0</v>
      </c>
      <c r="DF86" s="25"/>
      <c r="DG86" s="25">
        <f>+X86-CL86</f>
        <v>0</v>
      </c>
      <c r="DH86" s="56">
        <f>Y86-CM86</f>
        <v>0</v>
      </c>
      <c r="DI86" s="25">
        <f>+Z86-CN86</f>
        <v>0</v>
      </c>
    </row>
    <row r="87" spans="1:113" ht="19.5" customHeight="1" x14ac:dyDescent="0.25">
      <c r="A87" s="184"/>
      <c r="B87" s="187"/>
      <c r="C87" s="21" t="s">
        <v>249</v>
      </c>
      <c r="D87" s="22" t="s">
        <v>250</v>
      </c>
      <c r="E87" s="23">
        <v>520</v>
      </c>
      <c r="F87" s="68" t="s">
        <v>91</v>
      </c>
      <c r="G87" s="25">
        <f t="shared" si="67"/>
        <v>15184000</v>
      </c>
      <c r="H87" s="36"/>
      <c r="I87" s="25"/>
      <c r="J87" s="25"/>
      <c r="K87" s="58">
        <v>15184000</v>
      </c>
      <c r="L87" s="36"/>
      <c r="M87" s="36"/>
      <c r="N87" s="36"/>
      <c r="O87" s="36"/>
      <c r="P87" s="36"/>
      <c r="Q87" s="30"/>
      <c r="R87" s="36"/>
      <c r="S87" s="49"/>
      <c r="T87" s="25"/>
      <c r="U87" s="25"/>
      <c r="V87" s="25"/>
      <c r="W87" s="25"/>
      <c r="X87" s="25"/>
      <c r="Y87" s="25"/>
      <c r="Z87" s="25"/>
      <c r="AA87" s="59"/>
      <c r="AB87" s="27">
        <f t="shared" si="82"/>
        <v>1</v>
      </c>
      <c r="AC87" s="25">
        <f t="shared" si="68"/>
        <v>15184000</v>
      </c>
      <c r="AD87" s="25"/>
      <c r="AE87" s="25"/>
      <c r="AF87" s="25"/>
      <c r="AG87" s="25"/>
      <c r="AH87" s="25">
        <f>+'[4]ENERO 2016'!$O$854</f>
        <v>15184000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7">
        <f t="shared" si="83"/>
        <v>0</v>
      </c>
      <c r="AY87" s="25">
        <f t="shared" si="69"/>
        <v>0</v>
      </c>
      <c r="AZ87" s="25">
        <f t="shared" si="70"/>
        <v>0</v>
      </c>
      <c r="BA87" s="25">
        <f t="shared" si="70"/>
        <v>0</v>
      </c>
      <c r="BB87" s="25">
        <f t="shared" si="70"/>
        <v>0</v>
      </c>
      <c r="BC87" s="25">
        <f t="shared" ref="BC87:BN90" si="96">+K87-AH87</f>
        <v>0</v>
      </c>
      <c r="BD87" s="25">
        <f t="shared" si="96"/>
        <v>0</v>
      </c>
      <c r="BE87" s="25">
        <f t="shared" si="96"/>
        <v>0</v>
      </c>
      <c r="BF87" s="56">
        <f t="shared" si="96"/>
        <v>0</v>
      </c>
      <c r="BG87" s="25">
        <f t="shared" si="96"/>
        <v>0</v>
      </c>
      <c r="BH87" s="25">
        <f t="shared" si="96"/>
        <v>0</v>
      </c>
      <c r="BI87" s="25">
        <f t="shared" si="96"/>
        <v>0</v>
      </c>
      <c r="BJ87" s="25">
        <f t="shared" si="96"/>
        <v>0</v>
      </c>
      <c r="BK87" s="25">
        <f t="shared" si="96"/>
        <v>0</v>
      </c>
      <c r="BL87" s="25">
        <f t="shared" si="96"/>
        <v>0</v>
      </c>
      <c r="BM87" s="25">
        <f t="shared" si="96"/>
        <v>0</v>
      </c>
      <c r="BN87" s="25">
        <f t="shared" si="96"/>
        <v>0</v>
      </c>
      <c r="BO87" s="25"/>
      <c r="BP87" s="25"/>
      <c r="BQ87" s="25">
        <f t="shared" si="72"/>
        <v>0</v>
      </c>
      <c r="BR87" s="25">
        <f t="shared" si="87"/>
        <v>0</v>
      </c>
      <c r="BS87" s="27">
        <f t="shared" si="84"/>
        <v>0.97602917544783985</v>
      </c>
      <c r="BT87" s="25">
        <f t="shared" si="74"/>
        <v>14820027</v>
      </c>
      <c r="BU87" s="25"/>
      <c r="BV87" s="25"/>
      <c r="BW87" s="25"/>
      <c r="BX87" s="25"/>
      <c r="BY87" s="25">
        <f>+'[1]AGOSTO 2016'!$H$3026</f>
        <v>14820027</v>
      </c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60">
        <f t="shared" si="75"/>
        <v>2.3970824552160153E-2</v>
      </c>
      <c r="CP87" s="25">
        <f t="shared" si="76"/>
        <v>363973</v>
      </c>
      <c r="CQ87" s="25">
        <f t="shared" si="91"/>
        <v>0</v>
      </c>
      <c r="CR87" s="56">
        <f t="shared" si="91"/>
        <v>0</v>
      </c>
      <c r="CS87" s="25">
        <f t="shared" si="91"/>
        <v>0</v>
      </c>
      <c r="CT87" s="25">
        <f t="shared" si="91"/>
        <v>363973</v>
      </c>
      <c r="CU87" s="56">
        <f t="shared" si="91"/>
        <v>0</v>
      </c>
      <c r="CV87" s="25">
        <f t="shared" si="91"/>
        <v>0</v>
      </c>
      <c r="CW87" s="56">
        <f t="shared" si="94"/>
        <v>0</v>
      </c>
      <c r="CX87" s="56">
        <f t="shared" si="94"/>
        <v>0</v>
      </c>
      <c r="CY87" s="25">
        <f t="shared" si="94"/>
        <v>0</v>
      </c>
      <c r="CZ87" s="56">
        <f t="shared" si="79"/>
        <v>0</v>
      </c>
      <c r="DA87" s="25">
        <f t="shared" si="79"/>
        <v>0</v>
      </c>
      <c r="DB87" s="25">
        <f t="shared" si="79"/>
        <v>0</v>
      </c>
      <c r="DC87" s="25">
        <f t="shared" si="95"/>
        <v>0</v>
      </c>
      <c r="DD87" s="25">
        <f t="shared" si="95"/>
        <v>0</v>
      </c>
      <c r="DE87" s="25">
        <f t="shared" si="95"/>
        <v>0</v>
      </c>
      <c r="DF87" s="25"/>
      <c r="DG87" s="25">
        <f>+X87-CL87</f>
        <v>0</v>
      </c>
      <c r="DH87" s="56">
        <f>Y87-CM87</f>
        <v>0</v>
      </c>
      <c r="DI87" s="25">
        <f>+Z87-CN87</f>
        <v>0</v>
      </c>
    </row>
    <row r="88" spans="1:113" ht="33.75" customHeight="1" x14ac:dyDescent="0.25">
      <c r="A88" s="184"/>
      <c r="B88" s="187"/>
      <c r="C88" s="21" t="s">
        <v>251</v>
      </c>
      <c r="D88" s="22" t="s">
        <v>252</v>
      </c>
      <c r="E88" s="23">
        <v>520</v>
      </c>
      <c r="F88" s="68" t="s">
        <v>91</v>
      </c>
      <c r="G88" s="25">
        <f t="shared" si="67"/>
        <v>17000000</v>
      </c>
      <c r="H88" s="36"/>
      <c r="I88" s="36"/>
      <c r="J88" s="36"/>
      <c r="K88" s="58">
        <v>16000000</v>
      </c>
      <c r="L88" s="36"/>
      <c r="M88" s="36"/>
      <c r="N88" s="36"/>
      <c r="O88" s="36"/>
      <c r="P88" s="36"/>
      <c r="Q88" s="30"/>
      <c r="R88" s="36"/>
      <c r="S88" s="58"/>
      <c r="T88" s="25"/>
      <c r="U88" s="25"/>
      <c r="V88" s="25"/>
      <c r="W88" s="25"/>
      <c r="X88" s="25"/>
      <c r="Y88" s="25"/>
      <c r="Z88" s="25">
        <f>1000000</f>
        <v>1000000</v>
      </c>
      <c r="AA88" s="59"/>
      <c r="AB88" s="27">
        <f t="shared" si="82"/>
        <v>0.65294117647058825</v>
      </c>
      <c r="AC88" s="25">
        <f t="shared" si="68"/>
        <v>11100000</v>
      </c>
      <c r="AD88" s="25"/>
      <c r="AE88" s="25"/>
      <c r="AF88" s="25"/>
      <c r="AG88" s="25"/>
      <c r="AH88" s="25">
        <f>+'[1]AGOSTO 2016'!$O$3040</f>
        <v>11100000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7">
        <f t="shared" si="83"/>
        <v>0.34705882352941175</v>
      </c>
      <c r="AY88" s="25">
        <f t="shared" si="69"/>
        <v>5900000</v>
      </c>
      <c r="AZ88" s="25">
        <f t="shared" si="70"/>
        <v>0</v>
      </c>
      <c r="BA88" s="25">
        <f t="shared" si="70"/>
        <v>0</v>
      </c>
      <c r="BB88" s="25">
        <f t="shared" si="70"/>
        <v>0</v>
      </c>
      <c r="BC88" s="25">
        <f t="shared" si="96"/>
        <v>4900000</v>
      </c>
      <c r="BD88" s="25">
        <f t="shared" si="96"/>
        <v>0</v>
      </c>
      <c r="BE88" s="25">
        <f t="shared" si="96"/>
        <v>0</v>
      </c>
      <c r="BF88" s="56">
        <f t="shared" si="96"/>
        <v>0</v>
      </c>
      <c r="BG88" s="25">
        <f t="shared" si="96"/>
        <v>0</v>
      </c>
      <c r="BH88" s="25">
        <f t="shared" si="96"/>
        <v>0</v>
      </c>
      <c r="BI88" s="25">
        <f t="shared" si="96"/>
        <v>0</v>
      </c>
      <c r="BJ88" s="25">
        <f t="shared" si="96"/>
        <v>0</v>
      </c>
      <c r="BK88" s="25">
        <f t="shared" si="96"/>
        <v>0</v>
      </c>
      <c r="BL88" s="25">
        <f t="shared" si="96"/>
        <v>0</v>
      </c>
      <c r="BM88" s="25">
        <f t="shared" si="96"/>
        <v>0</v>
      </c>
      <c r="BN88" s="25">
        <f t="shared" si="96"/>
        <v>0</v>
      </c>
      <c r="BO88" s="25"/>
      <c r="BP88" s="25"/>
      <c r="BQ88" s="25">
        <f t="shared" si="72"/>
        <v>0</v>
      </c>
      <c r="BR88" s="25">
        <f t="shared" si="87"/>
        <v>1000000</v>
      </c>
      <c r="BS88" s="27">
        <f t="shared" si="84"/>
        <v>0.26470588235294118</v>
      </c>
      <c r="BT88" s="25">
        <f t="shared" si="74"/>
        <v>4500000</v>
      </c>
      <c r="BU88" s="25"/>
      <c r="BV88" s="25"/>
      <c r="BW88" s="25"/>
      <c r="BX88" s="25"/>
      <c r="BY88" s="25">
        <f>+'[6]JULIO 2016'!$H$2374</f>
        <v>4500000</v>
      </c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60">
        <f t="shared" si="75"/>
        <v>0.73529411764705888</v>
      </c>
      <c r="CP88" s="25">
        <f t="shared" si="76"/>
        <v>12500000</v>
      </c>
      <c r="CQ88" s="25">
        <f t="shared" si="91"/>
        <v>0</v>
      </c>
      <c r="CR88" s="56">
        <f t="shared" si="91"/>
        <v>0</v>
      </c>
      <c r="CS88" s="25">
        <f t="shared" si="91"/>
        <v>0</v>
      </c>
      <c r="CT88" s="25">
        <f t="shared" si="91"/>
        <v>11500000</v>
      </c>
      <c r="CU88" s="56">
        <f t="shared" si="91"/>
        <v>0</v>
      </c>
      <c r="CV88" s="25">
        <f t="shared" si="91"/>
        <v>0</v>
      </c>
      <c r="CW88" s="56">
        <f t="shared" si="94"/>
        <v>0</v>
      </c>
      <c r="CX88" s="56">
        <f t="shared" si="94"/>
        <v>0</v>
      </c>
      <c r="CY88" s="25">
        <f t="shared" si="94"/>
        <v>0</v>
      </c>
      <c r="CZ88" s="56">
        <f t="shared" si="79"/>
        <v>0</v>
      </c>
      <c r="DA88" s="25">
        <f t="shared" si="79"/>
        <v>0</v>
      </c>
      <c r="DB88" s="25">
        <f t="shared" si="79"/>
        <v>0</v>
      </c>
      <c r="DC88" s="25">
        <f t="shared" si="95"/>
        <v>0</v>
      </c>
      <c r="DD88" s="25">
        <f t="shared" si="95"/>
        <v>0</v>
      </c>
      <c r="DE88" s="25">
        <f t="shared" si="95"/>
        <v>0</v>
      </c>
      <c r="DF88" s="25"/>
      <c r="DG88" s="25">
        <f>+X88-CL88</f>
        <v>0</v>
      </c>
      <c r="DH88" s="56">
        <f>Y88-CM88</f>
        <v>0</v>
      </c>
      <c r="DI88" s="25">
        <f>+Z88-CN88</f>
        <v>1000000</v>
      </c>
    </row>
    <row r="89" spans="1:113" ht="21" customHeight="1" x14ac:dyDescent="0.25">
      <c r="A89" s="184"/>
      <c r="B89" s="187"/>
      <c r="C89" s="70" t="s">
        <v>253</v>
      </c>
      <c r="D89" s="22" t="s">
        <v>254</v>
      </c>
      <c r="E89" s="23">
        <v>520</v>
      </c>
      <c r="F89" s="68" t="s">
        <v>91</v>
      </c>
      <c r="G89" s="25">
        <f t="shared" si="67"/>
        <v>300709200</v>
      </c>
      <c r="H89" s="71"/>
      <c r="I89" s="71"/>
      <c r="J89" s="71"/>
      <c r="K89" s="58">
        <v>35709200</v>
      </c>
      <c r="L89" s="71"/>
      <c r="M89" s="71"/>
      <c r="N89" s="71"/>
      <c r="O89" s="71"/>
      <c r="P89" s="71"/>
      <c r="Q89" s="72"/>
      <c r="R89" s="71"/>
      <c r="S89" s="58">
        <v>265000000</v>
      </c>
      <c r="T89" s="73"/>
      <c r="U89" s="73"/>
      <c r="V89" s="73"/>
      <c r="W89" s="73"/>
      <c r="X89" s="73"/>
      <c r="Y89" s="73"/>
      <c r="Z89" s="73"/>
      <c r="AA89" s="59"/>
      <c r="AB89" s="27">
        <f t="shared" si="82"/>
        <v>0.90023584246840471</v>
      </c>
      <c r="AC89" s="25">
        <f t="shared" si="68"/>
        <v>270709200</v>
      </c>
      <c r="AD89" s="73"/>
      <c r="AE89" s="73"/>
      <c r="AF89" s="73"/>
      <c r="AG89" s="73"/>
      <c r="AH89" s="73">
        <f>+'[4]ENERO 2016'!$O$864</f>
        <v>35709200</v>
      </c>
      <c r="AI89" s="73"/>
      <c r="AJ89" s="73"/>
      <c r="AK89" s="73"/>
      <c r="AL89" s="73"/>
      <c r="AM89" s="73"/>
      <c r="AN89" s="73"/>
      <c r="AO89" s="73"/>
      <c r="AP89" s="73">
        <f>+'[1]AGOSTO 2016'!$W$3047</f>
        <v>235000000</v>
      </c>
      <c r="AQ89" s="73"/>
      <c r="AR89" s="73"/>
      <c r="AS89" s="73"/>
      <c r="AT89" s="73"/>
      <c r="AU89" s="73"/>
      <c r="AV89" s="73"/>
      <c r="AW89" s="73"/>
      <c r="AX89" s="27">
        <f t="shared" si="83"/>
        <v>9.9764157531595288E-2</v>
      </c>
      <c r="AY89" s="25">
        <f t="shared" si="69"/>
        <v>30000000</v>
      </c>
      <c r="AZ89" s="25">
        <f t="shared" si="70"/>
        <v>0</v>
      </c>
      <c r="BA89" s="25">
        <f t="shared" si="70"/>
        <v>0</v>
      </c>
      <c r="BB89" s="25">
        <f t="shared" si="70"/>
        <v>0</v>
      </c>
      <c r="BC89" s="25">
        <f t="shared" si="96"/>
        <v>0</v>
      </c>
      <c r="BD89" s="25">
        <f t="shared" si="96"/>
        <v>0</v>
      </c>
      <c r="BE89" s="25">
        <f t="shared" si="96"/>
        <v>0</v>
      </c>
      <c r="BF89" s="56">
        <f t="shared" si="96"/>
        <v>0</v>
      </c>
      <c r="BG89" s="25">
        <f t="shared" si="96"/>
        <v>0</v>
      </c>
      <c r="BH89" s="25">
        <f t="shared" si="96"/>
        <v>0</v>
      </c>
      <c r="BI89" s="25">
        <f t="shared" si="96"/>
        <v>0</v>
      </c>
      <c r="BJ89" s="25">
        <f t="shared" si="96"/>
        <v>0</v>
      </c>
      <c r="BK89" s="25">
        <f t="shared" si="96"/>
        <v>30000000</v>
      </c>
      <c r="BL89" s="25">
        <f t="shared" si="96"/>
        <v>0</v>
      </c>
      <c r="BM89" s="25">
        <f t="shared" si="96"/>
        <v>0</v>
      </c>
      <c r="BN89" s="25">
        <f t="shared" si="96"/>
        <v>0</v>
      </c>
      <c r="BO89" s="25"/>
      <c r="BP89" s="25">
        <f>+X89-AU89</f>
        <v>0</v>
      </c>
      <c r="BQ89" s="25">
        <f t="shared" si="72"/>
        <v>0</v>
      </c>
      <c r="BR89" s="25">
        <f t="shared" si="87"/>
        <v>0</v>
      </c>
      <c r="BS89" s="27">
        <f t="shared" si="84"/>
        <v>0.84788939945967734</v>
      </c>
      <c r="BT89" s="25">
        <f t="shared" si="74"/>
        <v>254968143</v>
      </c>
      <c r="BU89" s="73"/>
      <c r="BV89" s="73"/>
      <c r="BW89" s="73"/>
      <c r="BX89" s="73"/>
      <c r="BY89" s="73">
        <f>+'[1]AGOSTO 2016'!$H$3048</f>
        <v>33050686</v>
      </c>
      <c r="BZ89" s="73"/>
      <c r="CA89" s="73"/>
      <c r="CB89" s="73"/>
      <c r="CC89" s="73"/>
      <c r="CD89" s="73"/>
      <c r="CE89" s="73"/>
      <c r="CF89" s="73"/>
      <c r="CG89" s="73">
        <f>+'[1]AGOSTO 2016'!$H$3053+'[1]AGOSTO 2016'!$H$3056</f>
        <v>221917457</v>
      </c>
      <c r="CH89" s="73"/>
      <c r="CI89" s="73"/>
      <c r="CJ89" s="73"/>
      <c r="CK89" s="73"/>
      <c r="CL89" s="73"/>
      <c r="CM89" s="73"/>
      <c r="CN89" s="73"/>
      <c r="CO89" s="60">
        <f t="shared" si="75"/>
        <v>0.15211060054032266</v>
      </c>
      <c r="CP89" s="25">
        <f t="shared" si="76"/>
        <v>45741057</v>
      </c>
      <c r="CQ89" s="25">
        <f t="shared" si="91"/>
        <v>0</v>
      </c>
      <c r="CR89" s="56">
        <f t="shared" si="91"/>
        <v>0</v>
      </c>
      <c r="CS89" s="25">
        <f t="shared" si="91"/>
        <v>0</v>
      </c>
      <c r="CT89" s="25">
        <f t="shared" si="91"/>
        <v>2658514</v>
      </c>
      <c r="CU89" s="56">
        <f t="shared" si="91"/>
        <v>0</v>
      </c>
      <c r="CV89" s="25">
        <f t="shared" si="91"/>
        <v>0</v>
      </c>
      <c r="CW89" s="56">
        <f t="shared" si="94"/>
        <v>0</v>
      </c>
      <c r="CX89" s="56">
        <f t="shared" si="94"/>
        <v>0</v>
      </c>
      <c r="CY89" s="25">
        <f t="shared" si="94"/>
        <v>0</v>
      </c>
      <c r="CZ89" s="56">
        <f t="shared" si="79"/>
        <v>0</v>
      </c>
      <c r="DA89" s="56">
        <f t="shared" si="79"/>
        <v>0</v>
      </c>
      <c r="DB89" s="56">
        <f t="shared" si="79"/>
        <v>43082543</v>
      </c>
      <c r="DC89" s="56">
        <f>T89-CH89</f>
        <v>0</v>
      </c>
      <c r="DD89" s="56">
        <f>U89-CI89</f>
        <v>0</v>
      </c>
      <c r="DE89" s="56">
        <f>V89-CJ89</f>
        <v>0</v>
      </c>
      <c r="DF89" s="56"/>
      <c r="DG89" s="56">
        <f>X89-CL89</f>
        <v>0</v>
      </c>
      <c r="DH89" s="56">
        <f>Y89-CM89</f>
        <v>0</v>
      </c>
      <c r="DI89" s="56">
        <f>Z89-CN89</f>
        <v>0</v>
      </c>
    </row>
    <row r="90" spans="1:113" ht="69.75" customHeight="1" x14ac:dyDescent="0.25">
      <c r="A90" s="185"/>
      <c r="B90" s="188"/>
      <c r="C90" s="21" t="s">
        <v>255</v>
      </c>
      <c r="D90" s="22" t="s">
        <v>256</v>
      </c>
      <c r="E90" s="23">
        <v>520</v>
      </c>
      <c r="F90" s="24" t="s">
        <v>257</v>
      </c>
      <c r="G90" s="25">
        <f t="shared" si="67"/>
        <v>50055444</v>
      </c>
      <c r="H90" s="71"/>
      <c r="I90" s="71"/>
      <c r="J90" s="71"/>
      <c r="K90" s="71"/>
      <c r="L90" s="71"/>
      <c r="M90" s="71"/>
      <c r="N90" s="71"/>
      <c r="O90" s="71"/>
      <c r="P90" s="71"/>
      <c r="Q90" s="72"/>
      <c r="R90" s="71"/>
      <c r="S90" s="58"/>
      <c r="T90" s="73"/>
      <c r="U90" s="73"/>
      <c r="V90" s="73"/>
      <c r="W90" s="73"/>
      <c r="X90" s="73"/>
      <c r="Y90" s="73"/>
      <c r="Z90" s="73">
        <f>26599846+5000000+955598+1000000+3500000+3000000+10000000</f>
        <v>50055444</v>
      </c>
      <c r="AA90" s="59"/>
      <c r="AB90" s="27">
        <f t="shared" si="82"/>
        <v>0.72955766809300504</v>
      </c>
      <c r="AC90" s="25">
        <f t="shared" si="68"/>
        <v>36518333</v>
      </c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>
        <f>+'[1]AGOSTO 2016'!$G$3094</f>
        <v>36518333</v>
      </c>
      <c r="AX90" s="27">
        <f t="shared" si="83"/>
        <v>0.27044233190699496</v>
      </c>
      <c r="AY90" s="25">
        <f t="shared" si="69"/>
        <v>13537111</v>
      </c>
      <c r="AZ90" s="25">
        <f t="shared" si="70"/>
        <v>0</v>
      </c>
      <c r="BA90" s="25">
        <f t="shared" si="70"/>
        <v>0</v>
      </c>
      <c r="BB90" s="25">
        <f t="shared" si="70"/>
        <v>0</v>
      </c>
      <c r="BC90" s="25">
        <f t="shared" si="96"/>
        <v>0</v>
      </c>
      <c r="BD90" s="25">
        <f t="shared" si="96"/>
        <v>0</v>
      </c>
      <c r="BE90" s="25">
        <f t="shared" si="96"/>
        <v>0</v>
      </c>
      <c r="BF90" s="56">
        <f t="shared" si="96"/>
        <v>0</v>
      </c>
      <c r="BG90" s="25">
        <f t="shared" si="96"/>
        <v>0</v>
      </c>
      <c r="BH90" s="25">
        <f t="shared" si="96"/>
        <v>0</v>
      </c>
      <c r="BI90" s="25">
        <f t="shared" si="96"/>
        <v>0</v>
      </c>
      <c r="BJ90" s="25">
        <f t="shared" si="96"/>
        <v>0</v>
      </c>
      <c r="BK90" s="25">
        <f t="shared" si="96"/>
        <v>0</v>
      </c>
      <c r="BL90" s="25">
        <f t="shared" si="96"/>
        <v>0</v>
      </c>
      <c r="BM90" s="25">
        <f t="shared" si="96"/>
        <v>0</v>
      </c>
      <c r="BN90" s="25">
        <f t="shared" si="96"/>
        <v>0</v>
      </c>
      <c r="BO90" s="25"/>
      <c r="BP90" s="25">
        <f>+X90-AU90</f>
        <v>0</v>
      </c>
      <c r="BQ90" s="25">
        <f t="shared" si="72"/>
        <v>0</v>
      </c>
      <c r="BR90" s="25">
        <f t="shared" si="87"/>
        <v>13537111</v>
      </c>
      <c r="BS90" s="27">
        <f t="shared" si="84"/>
        <v>1.6581612980997633E-2</v>
      </c>
      <c r="BT90" s="25">
        <f t="shared" si="74"/>
        <v>830000</v>
      </c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>
        <f>+'[1]AGOSTO 2016'!$H$3094</f>
        <v>830000</v>
      </c>
      <c r="CO90" s="60">
        <f t="shared" si="75"/>
        <v>0.98341838701900242</v>
      </c>
      <c r="CP90" s="25">
        <f t="shared" si="76"/>
        <v>49225444</v>
      </c>
      <c r="CQ90" s="25">
        <f t="shared" si="91"/>
        <v>0</v>
      </c>
      <c r="CR90" s="56">
        <f t="shared" si="91"/>
        <v>0</v>
      </c>
      <c r="CS90" s="25">
        <f t="shared" si="91"/>
        <v>0</v>
      </c>
      <c r="CT90" s="25">
        <f t="shared" si="91"/>
        <v>0</v>
      </c>
      <c r="CU90" s="56">
        <f t="shared" si="91"/>
        <v>0</v>
      </c>
      <c r="CV90" s="25">
        <f t="shared" si="91"/>
        <v>0</v>
      </c>
      <c r="CW90" s="56">
        <f t="shared" si="94"/>
        <v>0</v>
      </c>
      <c r="CX90" s="56">
        <f t="shared" si="94"/>
        <v>0</v>
      </c>
      <c r="CY90" s="25">
        <f t="shared" si="94"/>
        <v>0</v>
      </c>
      <c r="CZ90" s="25">
        <f t="shared" si="94"/>
        <v>0</v>
      </c>
      <c r="DA90" s="25">
        <f t="shared" si="94"/>
        <v>0</v>
      </c>
      <c r="DB90" s="25">
        <f t="shared" si="94"/>
        <v>0</v>
      </c>
      <c r="DC90" s="25">
        <f t="shared" si="94"/>
        <v>0</v>
      </c>
      <c r="DD90" s="25">
        <f t="shared" si="94"/>
        <v>0</v>
      </c>
      <c r="DE90" s="25">
        <f t="shared" si="94"/>
        <v>0</v>
      </c>
      <c r="DF90" s="25"/>
      <c r="DG90" s="25">
        <f>+X90-CL90</f>
        <v>0</v>
      </c>
      <c r="DH90" s="25">
        <f>+Y90-CM90</f>
        <v>0</v>
      </c>
      <c r="DI90" s="25">
        <f>+Z90-CN90</f>
        <v>49225444</v>
      </c>
    </row>
    <row r="91" spans="1:113" s="47" customFormat="1" ht="20.25" customHeight="1" thickBot="1" x14ac:dyDescent="0.3">
      <c r="A91" s="74"/>
      <c r="B91" s="200" t="s">
        <v>258</v>
      </c>
      <c r="C91" s="201"/>
      <c r="D91" s="201"/>
      <c r="E91" s="201"/>
      <c r="F91" s="202"/>
      <c r="G91" s="63">
        <f>SUM(G59:G90)</f>
        <v>1683497241</v>
      </c>
      <c r="H91" s="63">
        <f>SUM(H59:H88)</f>
        <v>0</v>
      </c>
      <c r="I91" s="63">
        <f>SUM(I59:I88)</f>
        <v>0</v>
      </c>
      <c r="J91" s="63">
        <f>SUM(J59:J88)</f>
        <v>0</v>
      </c>
      <c r="K91" s="63">
        <f>SUM(K59:K90)</f>
        <v>520000000</v>
      </c>
      <c r="L91" s="63">
        <f t="shared" ref="L91:Q91" si="97">SUM(L59:L88)</f>
        <v>50000000</v>
      </c>
      <c r="M91" s="63">
        <f t="shared" si="97"/>
        <v>0</v>
      </c>
      <c r="N91" s="63">
        <f t="shared" si="97"/>
        <v>0</v>
      </c>
      <c r="O91" s="63">
        <f t="shared" si="97"/>
        <v>0</v>
      </c>
      <c r="P91" s="63">
        <f t="shared" si="97"/>
        <v>0</v>
      </c>
      <c r="Q91" s="63">
        <f t="shared" si="97"/>
        <v>0</v>
      </c>
      <c r="R91" s="63">
        <f>SUM(R59:R90)</f>
        <v>244000000</v>
      </c>
      <c r="S91" s="63">
        <f>SUM(S59:S90)</f>
        <v>333901442</v>
      </c>
      <c r="T91" s="63">
        <f t="shared" ref="T91:Y91" si="98">SUM(T59:T88)</f>
        <v>0</v>
      </c>
      <c r="U91" s="63">
        <f t="shared" si="98"/>
        <v>0</v>
      </c>
      <c r="V91" s="63">
        <f t="shared" si="98"/>
        <v>0</v>
      </c>
      <c r="W91" s="63">
        <f t="shared" si="98"/>
        <v>0</v>
      </c>
      <c r="X91" s="63">
        <f t="shared" si="98"/>
        <v>0</v>
      </c>
      <c r="Y91" s="63">
        <f t="shared" si="98"/>
        <v>0</v>
      </c>
      <c r="Z91" s="63">
        <f>SUM(Z59:Z90)</f>
        <v>535595799</v>
      </c>
      <c r="AB91" s="43">
        <f t="shared" si="82"/>
        <v>0.79636670340108984</v>
      </c>
      <c r="AC91" s="63">
        <f>SUM(AC59:AC90)</f>
        <v>1340681148</v>
      </c>
      <c r="AD91" s="63"/>
      <c r="AE91" s="63">
        <f t="shared" ref="AE91:AW91" si="99">SUM(AE59:AE90)</f>
        <v>0</v>
      </c>
      <c r="AF91" s="63">
        <f t="shared" si="99"/>
        <v>0</v>
      </c>
      <c r="AG91" s="63">
        <f t="shared" si="99"/>
        <v>0</v>
      </c>
      <c r="AH91" s="63">
        <f t="shared" si="99"/>
        <v>349598967</v>
      </c>
      <c r="AI91" s="63">
        <f t="shared" si="99"/>
        <v>49214507</v>
      </c>
      <c r="AJ91" s="63">
        <f t="shared" si="99"/>
        <v>0</v>
      </c>
      <c r="AK91" s="63">
        <f t="shared" si="99"/>
        <v>0</v>
      </c>
      <c r="AL91" s="63">
        <f t="shared" si="99"/>
        <v>0</v>
      </c>
      <c r="AM91" s="63">
        <f t="shared" si="99"/>
        <v>0</v>
      </c>
      <c r="AN91" s="63">
        <f t="shared" si="99"/>
        <v>0</v>
      </c>
      <c r="AO91" s="63">
        <f t="shared" si="99"/>
        <v>187101991</v>
      </c>
      <c r="AP91" s="63">
        <f t="shared" si="99"/>
        <v>261050876</v>
      </c>
      <c r="AQ91" s="63">
        <f t="shared" si="99"/>
        <v>0</v>
      </c>
      <c r="AR91" s="63">
        <f t="shared" si="99"/>
        <v>0</v>
      </c>
      <c r="AS91" s="63">
        <f t="shared" si="99"/>
        <v>0</v>
      </c>
      <c r="AT91" s="63">
        <f t="shared" si="99"/>
        <v>0</v>
      </c>
      <c r="AU91" s="63">
        <f t="shared" si="99"/>
        <v>0</v>
      </c>
      <c r="AV91" s="63">
        <f t="shared" si="99"/>
        <v>0</v>
      </c>
      <c r="AW91" s="63">
        <f t="shared" si="99"/>
        <v>493714807</v>
      </c>
      <c r="AX91" s="43">
        <f t="shared" si="83"/>
        <v>0.20363329659891016</v>
      </c>
      <c r="AY91" s="63">
        <f>SUM(AY59:AY90)</f>
        <v>342816093</v>
      </c>
      <c r="AZ91" s="63">
        <f t="shared" ref="AZ91:BR91" si="100">SUM(AZ59:AZ90)</f>
        <v>0</v>
      </c>
      <c r="BA91" s="63">
        <f t="shared" si="100"/>
        <v>0</v>
      </c>
      <c r="BB91" s="63">
        <f t="shared" si="100"/>
        <v>0</v>
      </c>
      <c r="BC91" s="63">
        <f t="shared" si="100"/>
        <v>170401033</v>
      </c>
      <c r="BD91" s="63">
        <f t="shared" si="100"/>
        <v>785493</v>
      </c>
      <c r="BE91" s="63">
        <f t="shared" si="100"/>
        <v>0</v>
      </c>
      <c r="BF91" s="63">
        <f t="shared" si="100"/>
        <v>0</v>
      </c>
      <c r="BG91" s="63">
        <f t="shared" si="100"/>
        <v>0</v>
      </c>
      <c r="BH91" s="63">
        <f t="shared" si="100"/>
        <v>0</v>
      </c>
      <c r="BI91" s="63">
        <f t="shared" si="100"/>
        <v>0</v>
      </c>
      <c r="BJ91" s="63">
        <f t="shared" si="100"/>
        <v>56898009</v>
      </c>
      <c r="BK91" s="63">
        <f t="shared" si="100"/>
        <v>72850566</v>
      </c>
      <c r="BL91" s="63">
        <f t="shared" si="100"/>
        <v>0</v>
      </c>
      <c r="BM91" s="63">
        <f t="shared" si="100"/>
        <v>0</v>
      </c>
      <c r="BN91" s="63">
        <f t="shared" si="100"/>
        <v>0</v>
      </c>
      <c r="BO91" s="63">
        <f t="shared" si="100"/>
        <v>0</v>
      </c>
      <c r="BP91" s="63">
        <f t="shared" si="100"/>
        <v>0</v>
      </c>
      <c r="BQ91" s="63">
        <f t="shared" si="100"/>
        <v>0</v>
      </c>
      <c r="BR91" s="63">
        <f t="shared" si="100"/>
        <v>41880992</v>
      </c>
      <c r="BS91" s="43">
        <f t="shared" si="84"/>
        <v>0.73669382449555199</v>
      </c>
      <c r="BT91" s="63">
        <f t="shared" ref="BT91:CJ91" si="101">SUM(BT59:BT90)</f>
        <v>1240222021</v>
      </c>
      <c r="BU91" s="63">
        <f t="shared" si="101"/>
        <v>0</v>
      </c>
      <c r="BV91" s="63">
        <f t="shared" si="101"/>
        <v>0</v>
      </c>
      <c r="BW91" s="63">
        <f t="shared" si="101"/>
        <v>0</v>
      </c>
      <c r="BX91" s="63">
        <f t="shared" si="101"/>
        <v>0</v>
      </c>
      <c r="BY91" s="63">
        <f t="shared" si="101"/>
        <v>310663409</v>
      </c>
      <c r="BZ91" s="63">
        <f t="shared" si="101"/>
        <v>49214507</v>
      </c>
      <c r="CA91" s="63">
        <f t="shared" si="101"/>
        <v>0</v>
      </c>
      <c r="CB91" s="63">
        <f t="shared" si="101"/>
        <v>0</v>
      </c>
      <c r="CC91" s="63">
        <f t="shared" si="101"/>
        <v>0</v>
      </c>
      <c r="CD91" s="63">
        <f t="shared" si="101"/>
        <v>0</v>
      </c>
      <c r="CE91" s="63">
        <f t="shared" si="101"/>
        <v>0</v>
      </c>
      <c r="CF91" s="63">
        <f t="shared" si="101"/>
        <v>185375614</v>
      </c>
      <c r="CG91" s="63">
        <f t="shared" si="101"/>
        <v>247744258</v>
      </c>
      <c r="CH91" s="63">
        <f t="shared" si="101"/>
        <v>0</v>
      </c>
      <c r="CI91" s="63">
        <f t="shared" si="101"/>
        <v>0</v>
      </c>
      <c r="CJ91" s="63">
        <f t="shared" si="101"/>
        <v>0</v>
      </c>
      <c r="CK91" s="63"/>
      <c r="CL91" s="63">
        <f>SUM(CL59:CL90)</f>
        <v>0</v>
      </c>
      <c r="CM91" s="63">
        <f>SUM(CM59:CM90)</f>
        <v>0</v>
      </c>
      <c r="CN91" s="63">
        <f>SUM(CN59:CN90)</f>
        <v>447224233</v>
      </c>
      <c r="CO91" s="43">
        <f t="shared" si="75"/>
        <v>0.26330617550444801</v>
      </c>
      <c r="CP91" s="63">
        <f t="shared" ref="CP91:DI91" si="102">SUM(CP59:CP90)</f>
        <v>443275220</v>
      </c>
      <c r="CQ91" s="63">
        <f t="shared" si="102"/>
        <v>0</v>
      </c>
      <c r="CR91" s="63">
        <f t="shared" si="102"/>
        <v>0</v>
      </c>
      <c r="CS91" s="63">
        <f t="shared" si="102"/>
        <v>0</v>
      </c>
      <c r="CT91" s="63">
        <f t="shared" si="102"/>
        <v>209336591</v>
      </c>
      <c r="CU91" s="63">
        <f t="shared" si="102"/>
        <v>785493</v>
      </c>
      <c r="CV91" s="63">
        <f t="shared" si="102"/>
        <v>0</v>
      </c>
      <c r="CW91" s="63">
        <f t="shared" si="102"/>
        <v>0</v>
      </c>
      <c r="CX91" s="63">
        <f t="shared" si="102"/>
        <v>0</v>
      </c>
      <c r="CY91" s="63">
        <f t="shared" si="102"/>
        <v>0</v>
      </c>
      <c r="CZ91" s="63">
        <f t="shared" si="102"/>
        <v>0</v>
      </c>
      <c r="DA91" s="63">
        <f t="shared" si="102"/>
        <v>58624386</v>
      </c>
      <c r="DB91" s="63">
        <f t="shared" si="102"/>
        <v>86157184</v>
      </c>
      <c r="DC91" s="63">
        <f t="shared" si="102"/>
        <v>0</v>
      </c>
      <c r="DD91" s="63">
        <f t="shared" si="102"/>
        <v>0</v>
      </c>
      <c r="DE91" s="63">
        <f t="shared" si="102"/>
        <v>0</v>
      </c>
      <c r="DF91" s="63">
        <f t="shared" si="102"/>
        <v>0</v>
      </c>
      <c r="DG91" s="63">
        <f t="shared" si="102"/>
        <v>0</v>
      </c>
      <c r="DH91" s="63">
        <f t="shared" si="102"/>
        <v>0</v>
      </c>
      <c r="DI91" s="63">
        <f t="shared" si="102"/>
        <v>88371566</v>
      </c>
    </row>
    <row r="92" spans="1:113" ht="6" customHeight="1" thickTop="1" x14ac:dyDescent="0.25">
      <c r="B92" s="75"/>
      <c r="C92" s="76"/>
      <c r="D92" s="77"/>
      <c r="E92" s="78"/>
      <c r="F92" s="79"/>
      <c r="G92" s="80"/>
      <c r="H92" s="80"/>
      <c r="I92" s="80"/>
      <c r="J92" s="80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2"/>
      <c r="AB92" s="83"/>
      <c r="AC92" s="84"/>
      <c r="AD92" s="84"/>
      <c r="AE92" s="84"/>
      <c r="AF92" s="84"/>
      <c r="AG92" s="84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6"/>
      <c r="AY92" s="84"/>
      <c r="AZ92" s="84"/>
      <c r="BA92" s="84"/>
      <c r="BB92" s="84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/>
      <c r="BS92" s="86"/>
      <c r="BT92" s="84"/>
      <c r="BU92" s="84"/>
      <c r="BV92" s="84"/>
      <c r="BW92" s="84"/>
      <c r="BX92" s="84"/>
      <c r="BY92" s="85"/>
      <c r="BZ92" s="85"/>
      <c r="CA92" s="85"/>
      <c r="CB92" s="85"/>
      <c r="CC92" s="85"/>
      <c r="CD92" s="85"/>
      <c r="CE92" s="85"/>
      <c r="CF92" s="85"/>
      <c r="CG92" s="85"/>
      <c r="CH92" s="85"/>
      <c r="CI92" s="85"/>
      <c r="CJ92" s="85"/>
      <c r="CK92" s="85"/>
      <c r="CL92" s="85"/>
      <c r="CM92" s="85"/>
      <c r="CN92" s="85"/>
      <c r="CO92" s="86"/>
      <c r="CP92" s="84"/>
      <c r="CQ92" s="84"/>
      <c r="CR92" s="84"/>
      <c r="CS92" s="84"/>
      <c r="CT92" s="87"/>
      <c r="CU92" s="87"/>
      <c r="CV92" s="87"/>
      <c r="CW92" s="87"/>
      <c r="CX92" s="87"/>
      <c r="CY92" s="87"/>
      <c r="CZ92" s="87"/>
      <c r="DA92" s="87"/>
      <c r="DB92" s="87"/>
      <c r="DC92" s="87"/>
      <c r="DD92" s="87"/>
      <c r="DE92" s="87"/>
      <c r="DF92" s="87"/>
      <c r="DG92" s="87"/>
      <c r="DH92" s="87"/>
      <c r="DI92" s="87"/>
    </row>
    <row r="93" spans="1:113" s="47" customFormat="1" ht="23.25" customHeight="1" x14ac:dyDescent="0.25">
      <c r="A93" s="203" t="s">
        <v>259</v>
      </c>
      <c r="B93" s="186" t="s">
        <v>260</v>
      </c>
      <c r="C93" s="70" t="s">
        <v>261</v>
      </c>
      <c r="D93" s="22" t="s">
        <v>262</v>
      </c>
      <c r="E93" s="23">
        <v>301</v>
      </c>
      <c r="F93" s="24" t="s">
        <v>263</v>
      </c>
      <c r="G93" s="25">
        <f t="shared" ref="G93:G107" si="103">SUM(H93:Z93)</f>
        <v>82075557</v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>
        <f>85000000-2924443</f>
        <v>82075557</v>
      </c>
      <c r="W93" s="25"/>
      <c r="X93" s="25"/>
      <c r="Y93" s="25"/>
      <c r="Z93" s="25"/>
      <c r="AB93" s="27">
        <f t="shared" ref="AB93:AB128" si="104">+AC93/G93</f>
        <v>0.95104883662257689</v>
      </c>
      <c r="AC93" s="25">
        <f t="shared" ref="AC93:AC107" si="105">SUM(AD93:AW93)</f>
        <v>78057863</v>
      </c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>
        <f>+'[1]AGOSTO 2016'!$Z$627</f>
        <v>78057863</v>
      </c>
      <c r="AT93" s="25"/>
      <c r="AU93" s="25"/>
      <c r="AV93" s="25"/>
      <c r="AW93" s="25"/>
      <c r="AX93" s="27">
        <f t="shared" ref="AX93:AX128" si="106">1-AB93</f>
        <v>4.8951163377423113E-2</v>
      </c>
      <c r="AY93" s="25">
        <f t="shared" ref="AY93:AY107" si="107">SUM(AZ93:BR93)</f>
        <v>4017694</v>
      </c>
      <c r="AZ93" s="25">
        <f t="shared" ref="AZ93:BN107" si="108">H93-AE93</f>
        <v>0</v>
      </c>
      <c r="BA93" s="25">
        <f t="shared" si="108"/>
        <v>0</v>
      </c>
      <c r="BB93" s="25">
        <f t="shared" si="108"/>
        <v>0</v>
      </c>
      <c r="BC93" s="25">
        <f t="shared" ref="BC93:BN99" si="109">+K93-AH93</f>
        <v>0</v>
      </c>
      <c r="BD93" s="25">
        <f t="shared" si="109"/>
        <v>0</v>
      </c>
      <c r="BE93" s="25">
        <f t="shared" si="109"/>
        <v>0</v>
      </c>
      <c r="BF93" s="25">
        <f t="shared" si="109"/>
        <v>0</v>
      </c>
      <c r="BG93" s="25">
        <f t="shared" si="109"/>
        <v>0</v>
      </c>
      <c r="BH93" s="25">
        <f t="shared" si="109"/>
        <v>0</v>
      </c>
      <c r="BI93" s="25">
        <f t="shared" si="109"/>
        <v>0</v>
      </c>
      <c r="BJ93" s="25">
        <f t="shared" si="109"/>
        <v>0</v>
      </c>
      <c r="BK93" s="25">
        <f t="shared" si="109"/>
        <v>0</v>
      </c>
      <c r="BL93" s="25">
        <f t="shared" si="109"/>
        <v>0</v>
      </c>
      <c r="BM93" s="25">
        <f t="shared" si="109"/>
        <v>0</v>
      </c>
      <c r="BN93" s="25">
        <f t="shared" si="109"/>
        <v>4017694</v>
      </c>
      <c r="BO93" s="25"/>
      <c r="BP93" s="25"/>
      <c r="BQ93" s="25">
        <f t="shared" ref="BQ93:BQ107" si="110">Y93-AV93</f>
        <v>0</v>
      </c>
      <c r="BR93" s="25">
        <f t="shared" ref="BR93:BR99" si="111">+Z93-AW93</f>
        <v>0</v>
      </c>
      <c r="BS93" s="27">
        <f t="shared" ref="BS93:BS128" si="112">+BT93/G93</f>
        <v>0.33579812318544483</v>
      </c>
      <c r="BT93" s="25">
        <f t="shared" ref="BT93:BT107" si="113">SUM(BU93:CN93)</f>
        <v>27560818</v>
      </c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>
        <f>+'[1]AGOSTO 2016'!$H$625</f>
        <v>27560818</v>
      </c>
      <c r="CK93" s="25"/>
      <c r="CL93" s="25"/>
      <c r="CM93" s="25"/>
      <c r="CN93" s="25"/>
      <c r="CO93" s="27">
        <f t="shared" ref="CO93:CO128" si="114">1-BS93</f>
        <v>0.66420187681455523</v>
      </c>
      <c r="CP93" s="25">
        <f t="shared" ref="CP93:CP107" si="115">SUM(CQ93:DI93)</f>
        <v>54514739</v>
      </c>
      <c r="CQ93" s="25">
        <f t="shared" ref="CQ93:CY107" si="116">H93-BV93</f>
        <v>0</v>
      </c>
      <c r="CR93" s="25">
        <f t="shared" si="116"/>
        <v>0</v>
      </c>
      <c r="CS93" s="25">
        <f t="shared" si="116"/>
        <v>0</v>
      </c>
      <c r="CT93" s="25">
        <f t="shared" si="116"/>
        <v>0</v>
      </c>
      <c r="CU93" s="25">
        <f t="shared" si="116"/>
        <v>0</v>
      </c>
      <c r="CV93" s="25">
        <f t="shared" si="116"/>
        <v>0</v>
      </c>
      <c r="CW93" s="25">
        <f t="shared" ref="CW93:CY98" si="117">+N93-CB93</f>
        <v>0</v>
      </c>
      <c r="CX93" s="25">
        <f t="shared" si="117"/>
        <v>0</v>
      </c>
      <c r="CY93" s="25">
        <f t="shared" si="117"/>
        <v>0</v>
      </c>
      <c r="CZ93" s="25">
        <f t="shared" ref="CZ93:DB107" si="118">Q93-CE93</f>
        <v>0</v>
      </c>
      <c r="DA93" s="25">
        <f t="shared" si="118"/>
        <v>0</v>
      </c>
      <c r="DB93" s="25">
        <f t="shared" si="118"/>
        <v>0</v>
      </c>
      <c r="DC93" s="25">
        <f t="shared" ref="DC93:DE99" si="119">+T93-CH93</f>
        <v>0</v>
      </c>
      <c r="DD93" s="25">
        <f t="shared" si="119"/>
        <v>0</v>
      </c>
      <c r="DE93" s="25">
        <f t="shared" si="119"/>
        <v>54514739</v>
      </c>
      <c r="DF93" s="25"/>
      <c r="DG93" s="25">
        <f t="shared" ref="DG93:DI99" si="120">+X93-CL93</f>
        <v>0</v>
      </c>
      <c r="DH93" s="25">
        <f t="shared" si="120"/>
        <v>0</v>
      </c>
      <c r="DI93" s="25">
        <f t="shared" si="120"/>
        <v>0</v>
      </c>
    </row>
    <row r="94" spans="1:113" s="47" customFormat="1" ht="27.75" customHeight="1" x14ac:dyDescent="0.25">
      <c r="A94" s="203"/>
      <c r="B94" s="187"/>
      <c r="C94" s="70" t="s">
        <v>264</v>
      </c>
      <c r="D94" s="22" t="s">
        <v>265</v>
      </c>
      <c r="E94" s="23">
        <v>301</v>
      </c>
      <c r="F94" s="24" t="s">
        <v>263</v>
      </c>
      <c r="G94" s="25">
        <f t="shared" si="103"/>
        <v>57924443</v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>
        <f>55000000+2924443</f>
        <v>57924443</v>
      </c>
      <c r="W94" s="25"/>
      <c r="X94" s="25"/>
      <c r="Y94" s="25"/>
      <c r="Z94" s="25"/>
      <c r="AB94" s="27">
        <f t="shared" si="104"/>
        <v>0.94951279894050944</v>
      </c>
      <c r="AC94" s="25">
        <f t="shared" si="105"/>
        <v>55000000</v>
      </c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>
        <f>+'[7]JUNIO 2016'!$Z$461</f>
        <v>55000000</v>
      </c>
      <c r="AT94" s="25"/>
      <c r="AU94" s="25"/>
      <c r="AV94" s="25"/>
      <c r="AW94" s="25"/>
      <c r="AX94" s="27">
        <f t="shared" si="106"/>
        <v>5.0487201059490561E-2</v>
      </c>
      <c r="AY94" s="25">
        <f t="shared" si="107"/>
        <v>2924443</v>
      </c>
      <c r="AZ94" s="25">
        <f t="shared" si="108"/>
        <v>0</v>
      </c>
      <c r="BA94" s="25">
        <f t="shared" si="108"/>
        <v>0</v>
      </c>
      <c r="BB94" s="25">
        <f t="shared" si="108"/>
        <v>0</v>
      </c>
      <c r="BC94" s="25">
        <f t="shared" si="109"/>
        <v>0</v>
      </c>
      <c r="BD94" s="25">
        <f t="shared" si="109"/>
        <v>0</v>
      </c>
      <c r="BE94" s="25">
        <f t="shared" si="109"/>
        <v>0</v>
      </c>
      <c r="BF94" s="25">
        <f t="shared" si="109"/>
        <v>0</v>
      </c>
      <c r="BG94" s="25">
        <f t="shared" si="109"/>
        <v>0</v>
      </c>
      <c r="BH94" s="25">
        <f t="shared" si="109"/>
        <v>0</v>
      </c>
      <c r="BI94" s="25">
        <f t="shared" si="109"/>
        <v>0</v>
      </c>
      <c r="BJ94" s="25">
        <f t="shared" si="109"/>
        <v>0</v>
      </c>
      <c r="BK94" s="25">
        <f t="shared" si="109"/>
        <v>0</v>
      </c>
      <c r="BL94" s="25">
        <f t="shared" si="109"/>
        <v>0</v>
      </c>
      <c r="BM94" s="25">
        <f t="shared" si="109"/>
        <v>0</v>
      </c>
      <c r="BN94" s="25">
        <f t="shared" si="109"/>
        <v>2924443</v>
      </c>
      <c r="BO94" s="25"/>
      <c r="BP94" s="25"/>
      <c r="BQ94" s="25">
        <f t="shared" si="110"/>
        <v>0</v>
      </c>
      <c r="BR94" s="25">
        <f t="shared" si="111"/>
        <v>0</v>
      </c>
      <c r="BS94" s="27">
        <f t="shared" si="112"/>
        <v>0.94334160451055182</v>
      </c>
      <c r="BT94" s="25">
        <f t="shared" si="113"/>
        <v>54642537</v>
      </c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>
        <f>+'[1]AGOSTO 2016'!$H$648</f>
        <v>54642537</v>
      </c>
      <c r="CK94" s="25"/>
      <c r="CL94" s="25"/>
      <c r="CM94" s="25"/>
      <c r="CN94" s="25"/>
      <c r="CO94" s="27">
        <f t="shared" si="114"/>
        <v>5.6658395489448177E-2</v>
      </c>
      <c r="CP94" s="25">
        <f t="shared" si="115"/>
        <v>3281906</v>
      </c>
      <c r="CQ94" s="25">
        <f t="shared" si="116"/>
        <v>0</v>
      </c>
      <c r="CR94" s="25">
        <f t="shared" si="116"/>
        <v>0</v>
      </c>
      <c r="CS94" s="25">
        <f t="shared" si="116"/>
        <v>0</v>
      </c>
      <c r="CT94" s="25">
        <f t="shared" si="116"/>
        <v>0</v>
      </c>
      <c r="CU94" s="25">
        <f t="shared" si="116"/>
        <v>0</v>
      </c>
      <c r="CV94" s="25">
        <f t="shared" si="116"/>
        <v>0</v>
      </c>
      <c r="CW94" s="25">
        <f t="shared" si="117"/>
        <v>0</v>
      </c>
      <c r="CX94" s="25">
        <f t="shared" si="117"/>
        <v>0</v>
      </c>
      <c r="CY94" s="25">
        <f t="shared" si="117"/>
        <v>0</v>
      </c>
      <c r="CZ94" s="25">
        <f t="shared" si="118"/>
        <v>0</v>
      </c>
      <c r="DA94" s="25">
        <f t="shared" si="118"/>
        <v>0</v>
      </c>
      <c r="DB94" s="25">
        <f t="shared" si="118"/>
        <v>0</v>
      </c>
      <c r="DC94" s="25">
        <f t="shared" si="119"/>
        <v>0</v>
      </c>
      <c r="DD94" s="25">
        <f t="shared" si="119"/>
        <v>0</v>
      </c>
      <c r="DE94" s="25">
        <f t="shared" si="119"/>
        <v>3281906</v>
      </c>
      <c r="DF94" s="25"/>
      <c r="DG94" s="25">
        <f t="shared" si="120"/>
        <v>0</v>
      </c>
      <c r="DH94" s="25">
        <f t="shared" si="120"/>
        <v>0</v>
      </c>
      <c r="DI94" s="25">
        <f t="shared" si="120"/>
        <v>0</v>
      </c>
    </row>
    <row r="95" spans="1:113" s="47" customFormat="1" ht="21.75" customHeight="1" x14ac:dyDescent="0.25">
      <c r="A95" s="203"/>
      <c r="B95" s="187"/>
      <c r="C95" s="70" t="s">
        <v>266</v>
      </c>
      <c r="D95" s="22" t="s">
        <v>267</v>
      </c>
      <c r="E95" s="23">
        <v>301</v>
      </c>
      <c r="F95" s="24" t="s">
        <v>263</v>
      </c>
      <c r="G95" s="25">
        <f t="shared" si="103"/>
        <v>38600000</v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>
        <f>30000000+8600000</f>
        <v>38600000</v>
      </c>
      <c r="W95" s="25"/>
      <c r="X95" s="25"/>
      <c r="Y95" s="25"/>
      <c r="Z95" s="25"/>
      <c r="AB95" s="27">
        <f t="shared" si="104"/>
        <v>0.76161233160621766</v>
      </c>
      <c r="AC95" s="25">
        <f t="shared" si="105"/>
        <v>29398236</v>
      </c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>
        <f>+'[1]AGOSTO 2016'!$G$665</f>
        <v>29398236</v>
      </c>
      <c r="AT95" s="25"/>
      <c r="AU95" s="25"/>
      <c r="AV95" s="25"/>
      <c r="AW95" s="25"/>
      <c r="AX95" s="27">
        <f t="shared" si="106"/>
        <v>0.23838766839378234</v>
      </c>
      <c r="AY95" s="25">
        <f t="shared" si="107"/>
        <v>9201764</v>
      </c>
      <c r="AZ95" s="25">
        <f t="shared" si="108"/>
        <v>0</v>
      </c>
      <c r="BA95" s="25">
        <f t="shared" si="108"/>
        <v>0</v>
      </c>
      <c r="BB95" s="25">
        <f t="shared" si="108"/>
        <v>0</v>
      </c>
      <c r="BC95" s="25">
        <f t="shared" si="109"/>
        <v>0</v>
      </c>
      <c r="BD95" s="25">
        <f t="shared" si="109"/>
        <v>0</v>
      </c>
      <c r="BE95" s="25">
        <f t="shared" si="109"/>
        <v>0</v>
      </c>
      <c r="BF95" s="25">
        <f t="shared" si="109"/>
        <v>0</v>
      </c>
      <c r="BG95" s="25">
        <f t="shared" si="109"/>
        <v>0</v>
      </c>
      <c r="BH95" s="25">
        <f t="shared" si="109"/>
        <v>0</v>
      </c>
      <c r="BI95" s="25">
        <f t="shared" si="109"/>
        <v>0</v>
      </c>
      <c r="BJ95" s="25">
        <f t="shared" si="109"/>
        <v>0</v>
      </c>
      <c r="BK95" s="25">
        <f t="shared" si="109"/>
        <v>0</v>
      </c>
      <c r="BL95" s="25">
        <f t="shared" si="109"/>
        <v>0</v>
      </c>
      <c r="BM95" s="25">
        <f t="shared" si="109"/>
        <v>0</v>
      </c>
      <c r="BN95" s="25">
        <f t="shared" si="109"/>
        <v>9201764</v>
      </c>
      <c r="BO95" s="25"/>
      <c r="BP95" s="25"/>
      <c r="BQ95" s="25">
        <f t="shared" si="110"/>
        <v>0</v>
      </c>
      <c r="BR95" s="25">
        <f t="shared" si="111"/>
        <v>0</v>
      </c>
      <c r="BS95" s="27">
        <f t="shared" si="112"/>
        <v>0.75817126943005186</v>
      </c>
      <c r="BT95" s="25">
        <f t="shared" si="113"/>
        <v>29265411</v>
      </c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>
        <f>+'[1]AGOSTO 2016'!$H$665</f>
        <v>29265411</v>
      </c>
      <c r="CK95" s="25"/>
      <c r="CL95" s="25"/>
      <c r="CM95" s="25"/>
      <c r="CN95" s="25"/>
      <c r="CO95" s="27">
        <f t="shared" si="114"/>
        <v>0.24182873056994814</v>
      </c>
      <c r="CP95" s="25">
        <f t="shared" si="115"/>
        <v>9334589</v>
      </c>
      <c r="CQ95" s="25">
        <f t="shared" si="116"/>
        <v>0</v>
      </c>
      <c r="CR95" s="25">
        <f t="shared" si="116"/>
        <v>0</v>
      </c>
      <c r="CS95" s="25">
        <f t="shared" si="116"/>
        <v>0</v>
      </c>
      <c r="CT95" s="25">
        <f t="shared" si="116"/>
        <v>0</v>
      </c>
      <c r="CU95" s="25">
        <f t="shared" si="116"/>
        <v>0</v>
      </c>
      <c r="CV95" s="25">
        <f t="shared" si="116"/>
        <v>0</v>
      </c>
      <c r="CW95" s="25">
        <f t="shared" si="117"/>
        <v>0</v>
      </c>
      <c r="CX95" s="25">
        <f t="shared" si="117"/>
        <v>0</v>
      </c>
      <c r="CY95" s="25">
        <f t="shared" si="117"/>
        <v>0</v>
      </c>
      <c r="CZ95" s="25">
        <f t="shared" si="118"/>
        <v>0</v>
      </c>
      <c r="DA95" s="25">
        <f t="shared" si="118"/>
        <v>0</v>
      </c>
      <c r="DB95" s="25">
        <f t="shared" si="118"/>
        <v>0</v>
      </c>
      <c r="DC95" s="25">
        <f t="shared" si="119"/>
        <v>0</v>
      </c>
      <c r="DD95" s="25">
        <f t="shared" si="119"/>
        <v>0</v>
      </c>
      <c r="DE95" s="25">
        <f t="shared" si="119"/>
        <v>9334589</v>
      </c>
      <c r="DF95" s="25"/>
      <c r="DG95" s="25">
        <f t="shared" si="120"/>
        <v>0</v>
      </c>
      <c r="DH95" s="25">
        <f t="shared" si="120"/>
        <v>0</v>
      </c>
      <c r="DI95" s="25">
        <f t="shared" si="120"/>
        <v>0</v>
      </c>
    </row>
    <row r="96" spans="1:113" ht="35.25" customHeight="1" x14ac:dyDescent="0.25">
      <c r="A96" s="203"/>
      <c r="B96" s="187"/>
      <c r="C96" s="70" t="s">
        <v>268</v>
      </c>
      <c r="D96" s="22" t="s">
        <v>269</v>
      </c>
      <c r="E96" s="23">
        <v>301</v>
      </c>
      <c r="F96" s="24" t="s">
        <v>270</v>
      </c>
      <c r="G96" s="25">
        <f t="shared" si="103"/>
        <v>76000000</v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>
        <v>25000000</v>
      </c>
      <c r="W96" s="25"/>
      <c r="X96" s="25"/>
      <c r="Y96" s="25"/>
      <c r="Z96" s="25">
        <f>25000000+1000000+5000000+20000000</f>
        <v>51000000</v>
      </c>
      <c r="AB96" s="27">
        <f t="shared" si="104"/>
        <v>0.28849028947368421</v>
      </c>
      <c r="AC96" s="25">
        <f>SUM(AD96:AW96)</f>
        <v>21925262</v>
      </c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>
        <f>+'[1]AGOSTO 2016'!$Z$680</f>
        <v>2000000</v>
      </c>
      <c r="AT96" s="25"/>
      <c r="AU96" s="25"/>
      <c r="AV96" s="25"/>
      <c r="AW96" s="25">
        <f>+'[1]AGOSTO 2016'!$AG$680</f>
        <v>19925262</v>
      </c>
      <c r="AX96" s="27">
        <f t="shared" si="106"/>
        <v>0.71150971052631573</v>
      </c>
      <c r="AY96" s="25">
        <f t="shared" si="107"/>
        <v>54074738</v>
      </c>
      <c r="AZ96" s="25">
        <f t="shared" si="108"/>
        <v>0</v>
      </c>
      <c r="BA96" s="25">
        <f t="shared" si="108"/>
        <v>0</v>
      </c>
      <c r="BB96" s="25">
        <f t="shared" si="108"/>
        <v>0</v>
      </c>
      <c r="BC96" s="25">
        <f t="shared" si="109"/>
        <v>0</v>
      </c>
      <c r="BD96" s="25">
        <f t="shared" si="109"/>
        <v>0</v>
      </c>
      <c r="BE96" s="25">
        <f t="shared" si="109"/>
        <v>0</v>
      </c>
      <c r="BF96" s="25">
        <f t="shared" si="109"/>
        <v>0</v>
      </c>
      <c r="BG96" s="25">
        <f t="shared" si="109"/>
        <v>0</v>
      </c>
      <c r="BH96" s="25">
        <f t="shared" si="109"/>
        <v>0</v>
      </c>
      <c r="BI96" s="25">
        <f t="shared" si="109"/>
        <v>0</v>
      </c>
      <c r="BJ96" s="25">
        <f t="shared" si="109"/>
        <v>0</v>
      </c>
      <c r="BK96" s="25">
        <f t="shared" si="109"/>
        <v>0</v>
      </c>
      <c r="BL96" s="25">
        <f t="shared" si="109"/>
        <v>0</v>
      </c>
      <c r="BM96" s="25">
        <f t="shared" si="109"/>
        <v>0</v>
      </c>
      <c r="BN96" s="25">
        <f t="shared" si="109"/>
        <v>23000000</v>
      </c>
      <c r="BO96" s="25"/>
      <c r="BP96" s="25"/>
      <c r="BQ96" s="25">
        <f t="shared" si="110"/>
        <v>0</v>
      </c>
      <c r="BR96" s="25">
        <f t="shared" si="111"/>
        <v>31074738</v>
      </c>
      <c r="BS96" s="27">
        <f t="shared" si="112"/>
        <v>0.27531923684210524</v>
      </c>
      <c r="BT96" s="25">
        <f t="shared" si="113"/>
        <v>20924262</v>
      </c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>
        <v>2000000</v>
      </c>
      <c r="CK96" s="25"/>
      <c r="CL96" s="25"/>
      <c r="CM96" s="25"/>
      <c r="CN96" s="25">
        <f>+'[1]AGOSTO 2016'!$H$678-CJ96</f>
        <v>18924262</v>
      </c>
      <c r="CO96" s="27">
        <f t="shared" si="114"/>
        <v>0.72468076315789476</v>
      </c>
      <c r="CP96" s="25">
        <f t="shared" si="115"/>
        <v>55075738</v>
      </c>
      <c r="CQ96" s="25">
        <f t="shared" si="116"/>
        <v>0</v>
      </c>
      <c r="CR96" s="25">
        <f t="shared" si="116"/>
        <v>0</v>
      </c>
      <c r="CS96" s="25">
        <f t="shared" si="116"/>
        <v>0</v>
      </c>
      <c r="CT96" s="25">
        <f t="shared" si="116"/>
        <v>0</v>
      </c>
      <c r="CU96" s="25">
        <f t="shared" si="116"/>
        <v>0</v>
      </c>
      <c r="CV96" s="25">
        <f t="shared" si="116"/>
        <v>0</v>
      </c>
      <c r="CW96" s="25">
        <f t="shared" si="117"/>
        <v>0</v>
      </c>
      <c r="CX96" s="25">
        <f t="shared" si="117"/>
        <v>0</v>
      </c>
      <c r="CY96" s="25">
        <f t="shared" si="117"/>
        <v>0</v>
      </c>
      <c r="CZ96" s="25">
        <f t="shared" si="118"/>
        <v>0</v>
      </c>
      <c r="DA96" s="25">
        <f t="shared" si="118"/>
        <v>0</v>
      </c>
      <c r="DB96" s="25">
        <f t="shared" si="118"/>
        <v>0</v>
      </c>
      <c r="DC96" s="25">
        <f t="shared" si="119"/>
        <v>0</v>
      </c>
      <c r="DD96" s="25">
        <f t="shared" si="119"/>
        <v>0</v>
      </c>
      <c r="DE96" s="25">
        <f t="shared" si="119"/>
        <v>23000000</v>
      </c>
      <c r="DF96" s="25"/>
      <c r="DG96" s="25">
        <f t="shared" si="120"/>
        <v>0</v>
      </c>
      <c r="DH96" s="25">
        <f t="shared" si="120"/>
        <v>0</v>
      </c>
      <c r="DI96" s="25">
        <f t="shared" si="120"/>
        <v>32075738</v>
      </c>
    </row>
    <row r="97" spans="1:114" ht="33" customHeight="1" x14ac:dyDescent="0.25">
      <c r="A97" s="203"/>
      <c r="B97" s="187"/>
      <c r="C97" s="70" t="s">
        <v>271</v>
      </c>
      <c r="D97" s="22" t="s">
        <v>272</v>
      </c>
      <c r="E97" s="23">
        <v>301</v>
      </c>
      <c r="F97" s="24" t="s">
        <v>263</v>
      </c>
      <c r="G97" s="25">
        <f t="shared" si="103"/>
        <v>34000000</v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>
        <v>34000000</v>
      </c>
      <c r="W97" s="25"/>
      <c r="X97" s="25"/>
      <c r="Y97" s="25"/>
      <c r="Z97" s="25"/>
      <c r="AB97" s="27">
        <f t="shared" si="104"/>
        <v>0.99863861764705886</v>
      </c>
      <c r="AC97" s="25">
        <f t="shared" si="105"/>
        <v>33953713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>
        <f>+'[3]ABRIL 2016'!$Z$347</f>
        <v>33953713</v>
      </c>
      <c r="AT97" s="25"/>
      <c r="AU97" s="25"/>
      <c r="AV97" s="25"/>
      <c r="AW97" s="25"/>
      <c r="AX97" s="27">
        <f t="shared" si="106"/>
        <v>1.3613823529411428E-3</v>
      </c>
      <c r="AY97" s="25">
        <f t="shared" si="107"/>
        <v>46287</v>
      </c>
      <c r="AZ97" s="25">
        <f t="shared" si="108"/>
        <v>0</v>
      </c>
      <c r="BA97" s="25">
        <f t="shared" si="108"/>
        <v>0</v>
      </c>
      <c r="BB97" s="25">
        <f t="shared" si="108"/>
        <v>0</v>
      </c>
      <c r="BC97" s="25">
        <f t="shared" si="109"/>
        <v>0</v>
      </c>
      <c r="BD97" s="25">
        <f t="shared" si="109"/>
        <v>0</v>
      </c>
      <c r="BE97" s="25">
        <f t="shared" si="109"/>
        <v>0</v>
      </c>
      <c r="BF97" s="25">
        <f t="shared" si="109"/>
        <v>0</v>
      </c>
      <c r="BG97" s="25">
        <f t="shared" si="109"/>
        <v>0</v>
      </c>
      <c r="BH97" s="25">
        <f t="shared" si="109"/>
        <v>0</v>
      </c>
      <c r="BI97" s="25">
        <f t="shared" si="109"/>
        <v>0</v>
      </c>
      <c r="BJ97" s="25">
        <f t="shared" si="109"/>
        <v>0</v>
      </c>
      <c r="BK97" s="25">
        <f t="shared" si="109"/>
        <v>0</v>
      </c>
      <c r="BL97" s="25">
        <f t="shared" si="109"/>
        <v>0</v>
      </c>
      <c r="BM97" s="25">
        <f t="shared" si="109"/>
        <v>0</v>
      </c>
      <c r="BN97" s="25">
        <f t="shared" si="109"/>
        <v>46287</v>
      </c>
      <c r="BO97" s="25"/>
      <c r="BP97" s="25"/>
      <c r="BQ97" s="25">
        <f t="shared" si="110"/>
        <v>0</v>
      </c>
      <c r="BR97" s="25">
        <f t="shared" si="111"/>
        <v>0</v>
      </c>
      <c r="BS97" s="27">
        <f t="shared" si="112"/>
        <v>0.99650888235294122</v>
      </c>
      <c r="BT97" s="25">
        <f t="shared" si="113"/>
        <v>33881302</v>
      </c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>
        <f>+'[8]MAYO 2016'!$H$416</f>
        <v>33881302</v>
      </c>
      <c r="CK97" s="25"/>
      <c r="CL97" s="25"/>
      <c r="CM97" s="25"/>
      <c r="CN97" s="25"/>
      <c r="CO97" s="27">
        <f t="shared" si="114"/>
        <v>3.4911176470587835E-3</v>
      </c>
      <c r="CP97" s="25">
        <f t="shared" si="115"/>
        <v>118698</v>
      </c>
      <c r="CQ97" s="25">
        <f t="shared" si="116"/>
        <v>0</v>
      </c>
      <c r="CR97" s="25">
        <f t="shared" si="116"/>
        <v>0</v>
      </c>
      <c r="CS97" s="25">
        <f t="shared" si="116"/>
        <v>0</v>
      </c>
      <c r="CT97" s="25">
        <f t="shared" si="116"/>
        <v>0</v>
      </c>
      <c r="CU97" s="25">
        <f t="shared" si="116"/>
        <v>0</v>
      </c>
      <c r="CV97" s="25">
        <f t="shared" si="116"/>
        <v>0</v>
      </c>
      <c r="CW97" s="25">
        <f t="shared" si="117"/>
        <v>0</v>
      </c>
      <c r="CX97" s="25">
        <f t="shared" si="117"/>
        <v>0</v>
      </c>
      <c r="CY97" s="25">
        <f t="shared" si="117"/>
        <v>0</v>
      </c>
      <c r="CZ97" s="25">
        <f t="shared" si="118"/>
        <v>0</v>
      </c>
      <c r="DA97" s="25">
        <f t="shared" si="118"/>
        <v>0</v>
      </c>
      <c r="DB97" s="25">
        <f t="shared" si="118"/>
        <v>0</v>
      </c>
      <c r="DC97" s="25">
        <f t="shared" si="119"/>
        <v>0</v>
      </c>
      <c r="DD97" s="25">
        <f t="shared" si="119"/>
        <v>0</v>
      </c>
      <c r="DE97" s="25">
        <f t="shared" si="119"/>
        <v>118698</v>
      </c>
      <c r="DF97" s="25"/>
      <c r="DG97" s="25">
        <f t="shared" si="120"/>
        <v>0</v>
      </c>
      <c r="DH97" s="25">
        <f t="shared" si="120"/>
        <v>0</v>
      </c>
      <c r="DI97" s="25">
        <f t="shared" si="120"/>
        <v>0</v>
      </c>
    </row>
    <row r="98" spans="1:114" ht="27.75" customHeight="1" x14ac:dyDescent="0.25">
      <c r="A98" s="203"/>
      <c r="B98" s="187"/>
      <c r="C98" s="70" t="s">
        <v>273</v>
      </c>
      <c r="D98" s="22" t="s">
        <v>274</v>
      </c>
      <c r="E98" s="23">
        <v>301</v>
      </c>
      <c r="F98" s="24" t="s">
        <v>186</v>
      </c>
      <c r="G98" s="25">
        <f t="shared" si="103"/>
        <v>113185104</v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>
        <f>53185104</f>
        <v>53185104</v>
      </c>
      <c r="V98" s="25">
        <v>60000000</v>
      </c>
      <c r="W98" s="25"/>
      <c r="X98" s="25"/>
      <c r="Y98" s="25"/>
      <c r="Z98" s="25"/>
      <c r="AB98" s="27">
        <f t="shared" si="104"/>
        <v>0.53010509227433322</v>
      </c>
      <c r="AC98" s="25">
        <f t="shared" si="105"/>
        <v>60000000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>
        <f>+'[4]ENERO 2016'!$Z$180</f>
        <v>60000000</v>
      </c>
      <c r="AT98" s="25"/>
      <c r="AU98" s="25"/>
      <c r="AV98" s="25"/>
      <c r="AW98" s="25"/>
      <c r="AX98" s="27">
        <f t="shared" si="106"/>
        <v>0.46989490772566678</v>
      </c>
      <c r="AY98" s="25">
        <f t="shared" si="107"/>
        <v>53185104</v>
      </c>
      <c r="AZ98" s="25">
        <f t="shared" si="108"/>
        <v>0</v>
      </c>
      <c r="BA98" s="25">
        <f t="shared" si="108"/>
        <v>0</v>
      </c>
      <c r="BB98" s="25">
        <f t="shared" si="108"/>
        <v>0</v>
      </c>
      <c r="BC98" s="25">
        <f t="shared" si="109"/>
        <v>0</v>
      </c>
      <c r="BD98" s="25">
        <f t="shared" si="109"/>
        <v>0</v>
      </c>
      <c r="BE98" s="25">
        <f t="shared" si="109"/>
        <v>0</v>
      </c>
      <c r="BF98" s="25">
        <f t="shared" si="109"/>
        <v>0</v>
      </c>
      <c r="BG98" s="25">
        <f t="shared" si="109"/>
        <v>0</v>
      </c>
      <c r="BH98" s="25">
        <f t="shared" si="109"/>
        <v>0</v>
      </c>
      <c r="BI98" s="25">
        <f t="shared" si="109"/>
        <v>0</v>
      </c>
      <c r="BJ98" s="25">
        <f t="shared" si="109"/>
        <v>0</v>
      </c>
      <c r="BK98" s="25">
        <f t="shared" si="109"/>
        <v>0</v>
      </c>
      <c r="BL98" s="25">
        <f t="shared" si="109"/>
        <v>0</v>
      </c>
      <c r="BM98" s="25">
        <f t="shared" si="109"/>
        <v>53185104</v>
      </c>
      <c r="BN98" s="25">
        <f t="shared" si="109"/>
        <v>0</v>
      </c>
      <c r="BO98" s="25"/>
      <c r="BP98" s="25"/>
      <c r="BQ98" s="25">
        <f t="shared" si="110"/>
        <v>0</v>
      </c>
      <c r="BR98" s="25">
        <f t="shared" si="111"/>
        <v>0</v>
      </c>
      <c r="BS98" s="27">
        <f t="shared" si="112"/>
        <v>0.49969884729707897</v>
      </c>
      <c r="BT98" s="25">
        <f t="shared" si="113"/>
        <v>56558466</v>
      </c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>
        <f>+'[1]AGOSTO 2016'!$H$714</f>
        <v>56558466</v>
      </c>
      <c r="CK98" s="25"/>
      <c r="CL98" s="25"/>
      <c r="CM98" s="25"/>
      <c r="CN98" s="25"/>
      <c r="CO98" s="27">
        <f t="shared" si="114"/>
        <v>0.50030115270292108</v>
      </c>
      <c r="CP98" s="25">
        <f t="shared" si="115"/>
        <v>56626638</v>
      </c>
      <c r="CQ98" s="25">
        <f t="shared" si="116"/>
        <v>0</v>
      </c>
      <c r="CR98" s="25">
        <f t="shared" si="116"/>
        <v>0</v>
      </c>
      <c r="CS98" s="25">
        <f t="shared" si="116"/>
        <v>0</v>
      </c>
      <c r="CT98" s="25">
        <f t="shared" si="116"/>
        <v>0</v>
      </c>
      <c r="CU98" s="25">
        <f t="shared" si="116"/>
        <v>0</v>
      </c>
      <c r="CV98" s="25">
        <f t="shared" si="116"/>
        <v>0</v>
      </c>
      <c r="CW98" s="25">
        <f t="shared" si="117"/>
        <v>0</v>
      </c>
      <c r="CX98" s="25">
        <f t="shared" si="117"/>
        <v>0</v>
      </c>
      <c r="CY98" s="25">
        <f t="shared" si="117"/>
        <v>0</v>
      </c>
      <c r="CZ98" s="25">
        <f t="shared" si="118"/>
        <v>0</v>
      </c>
      <c r="DA98" s="25">
        <f t="shared" si="118"/>
        <v>0</v>
      </c>
      <c r="DB98" s="25">
        <f t="shared" si="118"/>
        <v>0</v>
      </c>
      <c r="DC98" s="25">
        <f t="shared" si="119"/>
        <v>0</v>
      </c>
      <c r="DD98" s="25">
        <f t="shared" si="119"/>
        <v>53185104</v>
      </c>
      <c r="DE98" s="25">
        <f t="shared" si="119"/>
        <v>3441534</v>
      </c>
      <c r="DF98" s="25"/>
      <c r="DG98" s="25">
        <f t="shared" si="120"/>
        <v>0</v>
      </c>
      <c r="DH98" s="25">
        <f t="shared" si="120"/>
        <v>0</v>
      </c>
      <c r="DI98" s="25">
        <f t="shared" si="120"/>
        <v>0</v>
      </c>
    </row>
    <row r="99" spans="1:114" ht="21" customHeight="1" x14ac:dyDescent="0.25">
      <c r="A99" s="203"/>
      <c r="B99" s="187"/>
      <c r="C99" s="70" t="s">
        <v>275</v>
      </c>
      <c r="D99" s="22" t="s">
        <v>276</v>
      </c>
      <c r="E99" s="23">
        <v>301</v>
      </c>
      <c r="F99" s="24" t="s">
        <v>277</v>
      </c>
      <c r="G99" s="25">
        <f t="shared" si="103"/>
        <v>20000000</v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20000000</v>
      </c>
      <c r="W99" s="25"/>
      <c r="X99" s="25"/>
      <c r="Y99" s="25"/>
      <c r="Z99" s="25"/>
      <c r="AB99" s="27">
        <f t="shared" si="104"/>
        <v>0</v>
      </c>
      <c r="AC99" s="25">
        <f t="shared" si="105"/>
        <v>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7">
        <f t="shared" si="106"/>
        <v>1</v>
      </c>
      <c r="AY99" s="25">
        <f t="shared" si="107"/>
        <v>20000000</v>
      </c>
      <c r="AZ99" s="25">
        <f t="shared" si="108"/>
        <v>0</v>
      </c>
      <c r="BA99" s="25">
        <f t="shared" si="108"/>
        <v>0</v>
      </c>
      <c r="BB99" s="25">
        <f t="shared" si="108"/>
        <v>0</v>
      </c>
      <c r="BC99" s="25">
        <f t="shared" si="109"/>
        <v>0</v>
      </c>
      <c r="BD99" s="25">
        <f t="shared" si="109"/>
        <v>0</v>
      </c>
      <c r="BE99" s="25">
        <f t="shared" si="109"/>
        <v>0</v>
      </c>
      <c r="BF99" s="25">
        <f t="shared" si="109"/>
        <v>0</v>
      </c>
      <c r="BG99" s="25">
        <f t="shared" si="109"/>
        <v>0</v>
      </c>
      <c r="BH99" s="25">
        <f t="shared" si="109"/>
        <v>0</v>
      </c>
      <c r="BI99" s="25">
        <f t="shared" si="109"/>
        <v>0</v>
      </c>
      <c r="BJ99" s="25">
        <f t="shared" si="109"/>
        <v>0</v>
      </c>
      <c r="BK99" s="25">
        <f t="shared" si="109"/>
        <v>0</v>
      </c>
      <c r="BL99" s="25">
        <f t="shared" si="109"/>
        <v>0</v>
      </c>
      <c r="BM99" s="25">
        <f t="shared" si="109"/>
        <v>0</v>
      </c>
      <c r="BN99" s="25">
        <f t="shared" si="109"/>
        <v>20000000</v>
      </c>
      <c r="BO99" s="25"/>
      <c r="BP99" s="25"/>
      <c r="BQ99" s="25">
        <f t="shared" si="110"/>
        <v>0</v>
      </c>
      <c r="BR99" s="25">
        <f t="shared" si="111"/>
        <v>0</v>
      </c>
      <c r="BS99" s="27">
        <f t="shared" si="112"/>
        <v>0</v>
      </c>
      <c r="BT99" s="25">
        <f t="shared" si="113"/>
        <v>0</v>
      </c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7">
        <f t="shared" si="114"/>
        <v>1</v>
      </c>
      <c r="CP99" s="25">
        <f t="shared" si="115"/>
        <v>20000000</v>
      </c>
      <c r="CQ99" s="25">
        <f t="shared" si="116"/>
        <v>0</v>
      </c>
      <c r="CR99" s="25">
        <f t="shared" si="116"/>
        <v>0</v>
      </c>
      <c r="CS99" s="25">
        <f t="shared" si="116"/>
        <v>0</v>
      </c>
      <c r="CT99" s="25">
        <f t="shared" si="116"/>
        <v>0</v>
      </c>
      <c r="CU99" s="25">
        <f t="shared" si="116"/>
        <v>0</v>
      </c>
      <c r="CV99" s="25">
        <f t="shared" si="116"/>
        <v>0</v>
      </c>
      <c r="CW99" s="25">
        <f t="shared" si="116"/>
        <v>0</v>
      </c>
      <c r="CX99" s="25">
        <f t="shared" si="116"/>
        <v>0</v>
      </c>
      <c r="CY99" s="25">
        <f t="shared" si="116"/>
        <v>0</v>
      </c>
      <c r="CZ99" s="25">
        <f t="shared" si="118"/>
        <v>0</v>
      </c>
      <c r="DA99" s="25">
        <f t="shared" si="118"/>
        <v>0</v>
      </c>
      <c r="DB99" s="25">
        <f t="shared" si="118"/>
        <v>0</v>
      </c>
      <c r="DC99" s="25">
        <f t="shared" si="119"/>
        <v>0</v>
      </c>
      <c r="DD99" s="25">
        <f t="shared" si="119"/>
        <v>0</v>
      </c>
      <c r="DE99" s="25">
        <f t="shared" si="119"/>
        <v>20000000</v>
      </c>
      <c r="DF99" s="25"/>
      <c r="DG99" s="25">
        <f t="shared" si="120"/>
        <v>0</v>
      </c>
      <c r="DH99" s="25">
        <f t="shared" si="120"/>
        <v>0</v>
      </c>
      <c r="DI99" s="25">
        <f t="shared" si="120"/>
        <v>0</v>
      </c>
    </row>
    <row r="100" spans="1:114" ht="32.25" customHeight="1" x14ac:dyDescent="0.25">
      <c r="A100" s="203"/>
      <c r="B100" s="188"/>
      <c r="C100" s="70" t="s">
        <v>278</v>
      </c>
      <c r="D100" s="22" t="s">
        <v>279</v>
      </c>
      <c r="E100" s="23">
        <v>301</v>
      </c>
      <c r="F100" s="24" t="s">
        <v>263</v>
      </c>
      <c r="G100" s="25">
        <f t="shared" si="103"/>
        <v>26000000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>
        <v>26000000</v>
      </c>
      <c r="W100" s="25"/>
      <c r="X100" s="25"/>
      <c r="Y100" s="25"/>
      <c r="Z100" s="25"/>
      <c r="AB100" s="27">
        <f t="shared" si="104"/>
        <v>1</v>
      </c>
      <c r="AC100" s="25">
        <f t="shared" si="105"/>
        <v>26000000</v>
      </c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>
        <f>+'[4]ENERO 2016'!$Z$190</f>
        <v>26000000</v>
      </c>
      <c r="AT100" s="25"/>
      <c r="AU100" s="25"/>
      <c r="AV100" s="25"/>
      <c r="AW100" s="25"/>
      <c r="AX100" s="27">
        <f t="shared" si="106"/>
        <v>0</v>
      </c>
      <c r="AY100" s="25">
        <f t="shared" si="107"/>
        <v>0</v>
      </c>
      <c r="AZ100" s="25">
        <f t="shared" si="108"/>
        <v>0</v>
      </c>
      <c r="BA100" s="25">
        <f t="shared" si="108"/>
        <v>0</v>
      </c>
      <c r="BB100" s="25">
        <f t="shared" si="108"/>
        <v>0</v>
      </c>
      <c r="BC100" s="25">
        <f t="shared" si="108"/>
        <v>0</v>
      </c>
      <c r="BD100" s="25">
        <f t="shared" si="108"/>
        <v>0</v>
      </c>
      <c r="BE100" s="25">
        <f t="shared" si="108"/>
        <v>0</v>
      </c>
      <c r="BF100" s="25">
        <f t="shared" si="108"/>
        <v>0</v>
      </c>
      <c r="BG100" s="25">
        <f t="shared" si="108"/>
        <v>0</v>
      </c>
      <c r="BH100" s="25">
        <f t="shared" si="108"/>
        <v>0</v>
      </c>
      <c r="BI100" s="25">
        <f t="shared" si="108"/>
        <v>0</v>
      </c>
      <c r="BJ100" s="25">
        <f t="shared" si="108"/>
        <v>0</v>
      </c>
      <c r="BK100" s="25">
        <f t="shared" si="108"/>
        <v>0</v>
      </c>
      <c r="BL100" s="25">
        <f t="shared" si="108"/>
        <v>0</v>
      </c>
      <c r="BM100" s="25">
        <f t="shared" si="108"/>
        <v>0</v>
      </c>
      <c r="BN100" s="25">
        <f t="shared" si="108"/>
        <v>0</v>
      </c>
      <c r="BO100" s="25"/>
      <c r="BP100" s="25">
        <f>X100-AU100</f>
        <v>0</v>
      </c>
      <c r="BQ100" s="25">
        <f t="shared" si="110"/>
        <v>0</v>
      </c>
      <c r="BR100" s="25">
        <f>Z100-AW100</f>
        <v>0</v>
      </c>
      <c r="BS100" s="27">
        <f t="shared" si="112"/>
        <v>0.76782453846153842</v>
      </c>
      <c r="BT100" s="25">
        <f t="shared" si="113"/>
        <v>19963438</v>
      </c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>
        <f>+'[1]AGOSTO 2016'!$H$744</f>
        <v>19963438</v>
      </c>
      <c r="CK100" s="25"/>
      <c r="CL100" s="25"/>
      <c r="CM100" s="25"/>
      <c r="CN100" s="25"/>
      <c r="CO100" s="27">
        <f t="shared" si="114"/>
        <v>0.23217546153846158</v>
      </c>
      <c r="CP100" s="25">
        <f t="shared" si="115"/>
        <v>6036562</v>
      </c>
      <c r="CQ100" s="25">
        <f t="shared" si="116"/>
        <v>0</v>
      </c>
      <c r="CR100" s="25">
        <f t="shared" si="116"/>
        <v>0</v>
      </c>
      <c r="CS100" s="25">
        <f t="shared" si="116"/>
        <v>0</v>
      </c>
      <c r="CT100" s="25">
        <f t="shared" si="116"/>
        <v>0</v>
      </c>
      <c r="CU100" s="25">
        <f t="shared" si="116"/>
        <v>0</v>
      </c>
      <c r="CV100" s="25">
        <f t="shared" si="116"/>
        <v>0</v>
      </c>
      <c r="CW100" s="25">
        <f t="shared" si="116"/>
        <v>0</v>
      </c>
      <c r="CX100" s="25">
        <f t="shared" si="116"/>
        <v>0</v>
      </c>
      <c r="CY100" s="25">
        <f t="shared" si="116"/>
        <v>0</v>
      </c>
      <c r="CZ100" s="25">
        <f t="shared" si="118"/>
        <v>0</v>
      </c>
      <c r="DA100" s="25">
        <f t="shared" si="118"/>
        <v>0</v>
      </c>
      <c r="DB100" s="25">
        <f t="shared" si="118"/>
        <v>0</v>
      </c>
      <c r="DC100" s="25">
        <f>T100-CH100</f>
        <v>0</v>
      </c>
      <c r="DD100" s="25">
        <f>U100-CI100</f>
        <v>0</v>
      </c>
      <c r="DE100" s="25">
        <f>V100-CJ100</f>
        <v>6036562</v>
      </c>
      <c r="DF100" s="25"/>
      <c r="DG100" s="25">
        <f>X100-CL100</f>
        <v>0</v>
      </c>
      <c r="DH100" s="25">
        <f>Y100-CM100</f>
        <v>0</v>
      </c>
      <c r="DI100" s="25">
        <f>Z100-CN100</f>
        <v>0</v>
      </c>
    </row>
    <row r="101" spans="1:114" ht="33" customHeight="1" x14ac:dyDescent="0.25">
      <c r="A101" s="203"/>
      <c r="B101" s="153" t="s">
        <v>280</v>
      </c>
      <c r="C101" s="89" t="s">
        <v>281</v>
      </c>
      <c r="D101" s="22" t="s">
        <v>282</v>
      </c>
      <c r="E101" s="154">
        <v>301</v>
      </c>
      <c r="F101" s="24" t="s">
        <v>283</v>
      </c>
      <c r="G101" s="25">
        <f t="shared" si="103"/>
        <v>323000000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>
        <v>322000000</v>
      </c>
      <c r="W101" s="25"/>
      <c r="X101" s="25"/>
      <c r="Y101" s="25"/>
      <c r="Z101" s="25">
        <f>1000000</f>
        <v>1000000</v>
      </c>
      <c r="AB101" s="27">
        <f t="shared" si="104"/>
        <v>0.98060521362229103</v>
      </c>
      <c r="AC101" s="25">
        <f t="shared" si="105"/>
        <v>316735484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>
        <f>+'[1]AGOSTO 2016'!$Z$755</f>
        <v>316735484</v>
      </c>
      <c r="AT101" s="25"/>
      <c r="AU101" s="25"/>
      <c r="AV101" s="25"/>
      <c r="AW101" s="25"/>
      <c r="AX101" s="27">
        <f t="shared" si="106"/>
        <v>1.9394786377708972E-2</v>
      </c>
      <c r="AY101" s="25">
        <f t="shared" si="107"/>
        <v>6264516</v>
      </c>
      <c r="AZ101" s="25">
        <f t="shared" si="108"/>
        <v>0</v>
      </c>
      <c r="BA101" s="25">
        <f t="shared" si="108"/>
        <v>0</v>
      </c>
      <c r="BB101" s="25">
        <f t="shared" si="108"/>
        <v>0</v>
      </c>
      <c r="BC101" s="25">
        <f t="shared" ref="BC101:BN107" si="121">+K101-AH101</f>
        <v>0</v>
      </c>
      <c r="BD101" s="25">
        <f t="shared" si="121"/>
        <v>0</v>
      </c>
      <c r="BE101" s="25">
        <f t="shared" si="121"/>
        <v>0</v>
      </c>
      <c r="BF101" s="25">
        <f t="shared" si="121"/>
        <v>0</v>
      </c>
      <c r="BG101" s="25">
        <f t="shared" si="121"/>
        <v>0</v>
      </c>
      <c r="BH101" s="25">
        <f t="shared" si="121"/>
        <v>0</v>
      </c>
      <c r="BI101" s="25">
        <f t="shared" si="121"/>
        <v>0</v>
      </c>
      <c r="BJ101" s="25">
        <f t="shared" si="121"/>
        <v>0</v>
      </c>
      <c r="BK101" s="25">
        <f t="shared" si="121"/>
        <v>0</v>
      </c>
      <c r="BL101" s="25">
        <f t="shared" si="121"/>
        <v>0</v>
      </c>
      <c r="BM101" s="25">
        <f t="shared" si="121"/>
        <v>0</v>
      </c>
      <c r="BN101" s="25">
        <f t="shared" si="121"/>
        <v>5264516</v>
      </c>
      <c r="BO101" s="25"/>
      <c r="BP101" s="25"/>
      <c r="BQ101" s="25">
        <f t="shared" si="110"/>
        <v>0</v>
      </c>
      <c r="BR101" s="25">
        <f t="shared" ref="BR101:BR107" si="122">+Z101-AW101</f>
        <v>1000000</v>
      </c>
      <c r="BS101" s="27">
        <f t="shared" si="112"/>
        <v>0.96997916099071202</v>
      </c>
      <c r="BT101" s="25">
        <f t="shared" si="113"/>
        <v>313303269</v>
      </c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>
        <f>+'[1]AGOSTO 2016'!$H$753</f>
        <v>313303269</v>
      </c>
      <c r="CK101" s="25"/>
      <c r="CL101" s="25"/>
      <c r="CM101" s="25"/>
      <c r="CN101" s="25"/>
      <c r="CO101" s="27">
        <f t="shared" si="114"/>
        <v>3.0020839009287981E-2</v>
      </c>
      <c r="CP101" s="25">
        <f t="shared" si="115"/>
        <v>9696731</v>
      </c>
      <c r="CQ101" s="25">
        <f t="shared" si="116"/>
        <v>0</v>
      </c>
      <c r="CR101" s="25">
        <f t="shared" si="116"/>
        <v>0</v>
      </c>
      <c r="CS101" s="25">
        <f t="shared" si="116"/>
        <v>0</v>
      </c>
      <c r="CT101" s="25">
        <f t="shared" si="116"/>
        <v>0</v>
      </c>
      <c r="CU101" s="25">
        <f t="shared" si="116"/>
        <v>0</v>
      </c>
      <c r="CV101" s="25">
        <f t="shared" si="116"/>
        <v>0</v>
      </c>
      <c r="CW101" s="25">
        <f t="shared" ref="CW101:CX107" si="123">+N101-CB101</f>
        <v>0</v>
      </c>
      <c r="CX101" s="25">
        <f t="shared" si="123"/>
        <v>0</v>
      </c>
      <c r="CY101" s="25">
        <f t="shared" si="116"/>
        <v>0</v>
      </c>
      <c r="CZ101" s="25">
        <f t="shared" si="118"/>
        <v>0</v>
      </c>
      <c r="DA101" s="25">
        <f t="shared" si="118"/>
        <v>0</v>
      </c>
      <c r="DB101" s="25">
        <f t="shared" si="118"/>
        <v>0</v>
      </c>
      <c r="DC101" s="25">
        <f t="shared" ref="DC101:DE107" si="124">+T101-CH101</f>
        <v>0</v>
      </c>
      <c r="DD101" s="25">
        <f t="shared" si="124"/>
        <v>0</v>
      </c>
      <c r="DE101" s="25">
        <f t="shared" si="124"/>
        <v>8696731</v>
      </c>
      <c r="DF101" s="25"/>
      <c r="DG101" s="25">
        <f t="shared" ref="DG101:DI107" si="125">+X101-CL101</f>
        <v>0</v>
      </c>
      <c r="DH101" s="25">
        <f t="shared" si="125"/>
        <v>0</v>
      </c>
      <c r="DI101" s="25">
        <f t="shared" si="125"/>
        <v>1000000</v>
      </c>
    </row>
    <row r="102" spans="1:114" ht="54.75" customHeight="1" x14ac:dyDescent="0.25">
      <c r="A102" s="203"/>
      <c r="B102" s="90" t="s">
        <v>284</v>
      </c>
      <c r="C102" s="70" t="s">
        <v>285</v>
      </c>
      <c r="D102" s="22" t="s">
        <v>286</v>
      </c>
      <c r="E102" s="23">
        <v>301</v>
      </c>
      <c r="F102" s="24" t="s">
        <v>287</v>
      </c>
      <c r="G102" s="25">
        <f t="shared" si="103"/>
        <v>325425485</v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316000000</v>
      </c>
      <c r="W102" s="25"/>
      <c r="X102" s="25"/>
      <c r="Y102" s="25"/>
      <c r="Z102" s="25">
        <f>6000000+1000000+2425485</f>
        <v>9425485</v>
      </c>
      <c r="AB102" s="27">
        <f t="shared" si="104"/>
        <v>0.54134846568639206</v>
      </c>
      <c r="AC102" s="25">
        <f t="shared" si="105"/>
        <v>176168587</v>
      </c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>
        <f>+'[1]AGOSTO 2016'!$Z$812</f>
        <v>170043102</v>
      </c>
      <c r="AT102" s="25"/>
      <c r="AU102" s="25"/>
      <c r="AV102" s="25"/>
      <c r="AW102" s="25">
        <f>+'[1]AGOSTO 2016'!$AG$812</f>
        <v>6125485</v>
      </c>
      <c r="AX102" s="27">
        <f t="shared" si="106"/>
        <v>0.45865153431360794</v>
      </c>
      <c r="AY102" s="25">
        <f t="shared" si="107"/>
        <v>149256898</v>
      </c>
      <c r="AZ102" s="25">
        <f t="shared" si="108"/>
        <v>0</v>
      </c>
      <c r="BA102" s="25">
        <f t="shared" si="108"/>
        <v>0</v>
      </c>
      <c r="BB102" s="25">
        <f t="shared" si="108"/>
        <v>0</v>
      </c>
      <c r="BC102" s="25">
        <f t="shared" si="121"/>
        <v>0</v>
      </c>
      <c r="BD102" s="25">
        <f t="shared" si="121"/>
        <v>0</v>
      </c>
      <c r="BE102" s="25">
        <f t="shared" si="121"/>
        <v>0</v>
      </c>
      <c r="BF102" s="25">
        <f t="shared" si="121"/>
        <v>0</v>
      </c>
      <c r="BG102" s="25">
        <f t="shared" si="121"/>
        <v>0</v>
      </c>
      <c r="BH102" s="25">
        <f t="shared" si="121"/>
        <v>0</v>
      </c>
      <c r="BI102" s="25">
        <f t="shared" si="121"/>
        <v>0</v>
      </c>
      <c r="BJ102" s="25">
        <f t="shared" si="121"/>
        <v>0</v>
      </c>
      <c r="BK102" s="25">
        <f t="shared" si="121"/>
        <v>0</v>
      </c>
      <c r="BL102" s="25">
        <f t="shared" si="121"/>
        <v>0</v>
      </c>
      <c r="BM102" s="25">
        <f t="shared" si="121"/>
        <v>0</v>
      </c>
      <c r="BN102" s="25">
        <f t="shared" si="121"/>
        <v>145956898</v>
      </c>
      <c r="BO102" s="25"/>
      <c r="BP102" s="25"/>
      <c r="BQ102" s="25">
        <f t="shared" si="110"/>
        <v>0</v>
      </c>
      <c r="BR102" s="25">
        <f t="shared" si="122"/>
        <v>3300000</v>
      </c>
      <c r="BS102" s="27">
        <f t="shared" si="112"/>
        <v>0.53700639641053316</v>
      </c>
      <c r="BT102" s="25">
        <f t="shared" si="113"/>
        <v>174755567</v>
      </c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>
        <f>+'[1]AGOSTO 2016'!$H$810-CN102</f>
        <v>168723602</v>
      </c>
      <c r="CK102" s="25"/>
      <c r="CL102" s="25"/>
      <c r="CM102" s="25"/>
      <c r="CN102" s="25">
        <f>+'[1]AGOSTO 2016'!$H$864+'[1]AGOSTO 2016'!$H$850+'[1]AGOSTO 2016'!$H$840+'[1]AGOSTO 2016'!$H$831+'[1]AGOSTO 2016'!$H$830</f>
        <v>6031965</v>
      </c>
      <c r="CO102" s="27">
        <f t="shared" si="114"/>
        <v>0.46299360358946684</v>
      </c>
      <c r="CP102" s="25">
        <f t="shared" si="115"/>
        <v>150669918</v>
      </c>
      <c r="CQ102" s="25">
        <f t="shared" si="116"/>
        <v>0</v>
      </c>
      <c r="CR102" s="25">
        <f t="shared" si="116"/>
        <v>0</v>
      </c>
      <c r="CS102" s="25">
        <f t="shared" si="116"/>
        <v>0</v>
      </c>
      <c r="CT102" s="25">
        <f t="shared" si="116"/>
        <v>0</v>
      </c>
      <c r="CU102" s="25">
        <f t="shared" si="116"/>
        <v>0</v>
      </c>
      <c r="CV102" s="25">
        <f t="shared" si="116"/>
        <v>0</v>
      </c>
      <c r="CW102" s="25">
        <f t="shared" si="123"/>
        <v>0</v>
      </c>
      <c r="CX102" s="25">
        <f t="shared" si="123"/>
        <v>0</v>
      </c>
      <c r="CY102" s="25">
        <f t="shared" si="116"/>
        <v>0</v>
      </c>
      <c r="CZ102" s="25">
        <f t="shared" si="118"/>
        <v>0</v>
      </c>
      <c r="DA102" s="25">
        <f t="shared" si="118"/>
        <v>0</v>
      </c>
      <c r="DB102" s="25">
        <f t="shared" si="118"/>
        <v>0</v>
      </c>
      <c r="DC102" s="25">
        <f t="shared" si="124"/>
        <v>0</v>
      </c>
      <c r="DD102" s="25">
        <f t="shared" si="124"/>
        <v>0</v>
      </c>
      <c r="DE102" s="25">
        <f t="shared" si="124"/>
        <v>147276398</v>
      </c>
      <c r="DF102" s="25"/>
      <c r="DG102" s="25">
        <f t="shared" si="125"/>
        <v>0</v>
      </c>
      <c r="DH102" s="25">
        <f t="shared" si="125"/>
        <v>0</v>
      </c>
      <c r="DI102" s="25">
        <f t="shared" si="125"/>
        <v>3393520</v>
      </c>
    </row>
    <row r="103" spans="1:114" ht="42" customHeight="1" x14ac:dyDescent="0.25">
      <c r="A103" s="203"/>
      <c r="B103" s="90" t="s">
        <v>288</v>
      </c>
      <c r="C103" s="70" t="s">
        <v>289</v>
      </c>
      <c r="D103" s="22" t="s">
        <v>290</v>
      </c>
      <c r="E103" s="23">
        <v>301</v>
      </c>
      <c r="F103" s="24" t="s">
        <v>291</v>
      </c>
      <c r="G103" s="25">
        <f t="shared" si="103"/>
        <v>46255066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f>67000000-30600000</f>
        <v>36400000</v>
      </c>
      <c r="W103" s="25"/>
      <c r="X103" s="25"/>
      <c r="Y103" s="25"/>
      <c r="Z103" s="25">
        <f>2000000+2682410+1000000+257590+3915066</f>
        <v>9855066</v>
      </c>
      <c r="AB103" s="27">
        <f t="shared" si="104"/>
        <v>0.4198459040140598</v>
      </c>
      <c r="AC103" s="25">
        <f t="shared" si="105"/>
        <v>19420000</v>
      </c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>
        <f>+'[7]JUNIO 2016'!$Z$626</f>
        <v>17580000</v>
      </c>
      <c r="AT103" s="25"/>
      <c r="AU103" s="25"/>
      <c r="AV103" s="25"/>
      <c r="AW103" s="25">
        <f>+'[7]JUNIO 2016'!$AG$626</f>
        <v>1840000</v>
      </c>
      <c r="AX103" s="27">
        <f t="shared" si="106"/>
        <v>0.58015409598594014</v>
      </c>
      <c r="AY103" s="25">
        <f t="shared" si="107"/>
        <v>26835066</v>
      </c>
      <c r="AZ103" s="25">
        <f t="shared" si="108"/>
        <v>0</v>
      </c>
      <c r="BA103" s="25">
        <f t="shared" si="108"/>
        <v>0</v>
      </c>
      <c r="BB103" s="25">
        <f t="shared" si="108"/>
        <v>0</v>
      </c>
      <c r="BC103" s="25">
        <f t="shared" si="121"/>
        <v>0</v>
      </c>
      <c r="BD103" s="25">
        <f t="shared" si="121"/>
        <v>0</v>
      </c>
      <c r="BE103" s="25">
        <f t="shared" si="121"/>
        <v>0</v>
      </c>
      <c r="BF103" s="25">
        <f t="shared" si="121"/>
        <v>0</v>
      </c>
      <c r="BG103" s="25">
        <f t="shared" si="121"/>
        <v>0</v>
      </c>
      <c r="BH103" s="25">
        <f t="shared" si="121"/>
        <v>0</v>
      </c>
      <c r="BI103" s="25">
        <f t="shared" si="121"/>
        <v>0</v>
      </c>
      <c r="BJ103" s="25">
        <f t="shared" si="121"/>
        <v>0</v>
      </c>
      <c r="BK103" s="25">
        <f t="shared" si="121"/>
        <v>0</v>
      </c>
      <c r="BL103" s="25">
        <f t="shared" si="121"/>
        <v>0</v>
      </c>
      <c r="BM103" s="25">
        <f t="shared" si="121"/>
        <v>0</v>
      </c>
      <c r="BN103" s="25">
        <f t="shared" si="121"/>
        <v>18820000</v>
      </c>
      <c r="BO103" s="25"/>
      <c r="BP103" s="25"/>
      <c r="BQ103" s="25">
        <f t="shared" si="110"/>
        <v>0</v>
      </c>
      <c r="BR103" s="25">
        <f t="shared" si="122"/>
        <v>8015066</v>
      </c>
      <c r="BS103" s="27">
        <f t="shared" si="112"/>
        <v>0.4198459040140598</v>
      </c>
      <c r="BT103" s="25">
        <f t="shared" si="113"/>
        <v>19420000</v>
      </c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>
        <f>+'[7]JUNIO 2016'!$H$629</f>
        <v>17580000</v>
      </c>
      <c r="CK103" s="25"/>
      <c r="CL103" s="25"/>
      <c r="CM103" s="25"/>
      <c r="CN103" s="25">
        <f>+'[7]JUNIO 2016'!$H$627+'[7]JUNIO 2016'!$H$628+'[7]JUNIO 2016'!$H$631</f>
        <v>1840000</v>
      </c>
      <c r="CO103" s="27">
        <f t="shared" si="114"/>
        <v>0.58015409598594014</v>
      </c>
      <c r="CP103" s="25">
        <f t="shared" si="115"/>
        <v>26835066</v>
      </c>
      <c r="CQ103" s="25">
        <f t="shared" si="116"/>
        <v>0</v>
      </c>
      <c r="CR103" s="25">
        <f t="shared" si="116"/>
        <v>0</v>
      </c>
      <c r="CS103" s="25">
        <f t="shared" si="116"/>
        <v>0</v>
      </c>
      <c r="CT103" s="25">
        <f t="shared" si="116"/>
        <v>0</v>
      </c>
      <c r="CU103" s="25">
        <f t="shared" si="116"/>
        <v>0</v>
      </c>
      <c r="CV103" s="25">
        <f t="shared" si="116"/>
        <v>0</v>
      </c>
      <c r="CW103" s="25">
        <f t="shared" si="123"/>
        <v>0</v>
      </c>
      <c r="CX103" s="25">
        <f t="shared" si="123"/>
        <v>0</v>
      </c>
      <c r="CY103" s="25">
        <f t="shared" si="116"/>
        <v>0</v>
      </c>
      <c r="CZ103" s="25">
        <f t="shared" si="118"/>
        <v>0</v>
      </c>
      <c r="DA103" s="25">
        <f t="shared" si="118"/>
        <v>0</v>
      </c>
      <c r="DB103" s="25">
        <f t="shared" si="118"/>
        <v>0</v>
      </c>
      <c r="DC103" s="25">
        <f t="shared" si="124"/>
        <v>0</v>
      </c>
      <c r="DD103" s="25">
        <f t="shared" si="124"/>
        <v>0</v>
      </c>
      <c r="DE103" s="25">
        <f t="shared" si="124"/>
        <v>18820000</v>
      </c>
      <c r="DF103" s="25"/>
      <c r="DG103" s="25">
        <f t="shared" si="125"/>
        <v>0</v>
      </c>
      <c r="DH103" s="25">
        <f t="shared" si="125"/>
        <v>0</v>
      </c>
      <c r="DI103" s="25">
        <f t="shared" si="125"/>
        <v>8015066</v>
      </c>
    </row>
    <row r="104" spans="1:114" ht="33" customHeight="1" x14ac:dyDescent="0.25">
      <c r="A104" s="203"/>
      <c r="B104" s="186" t="s">
        <v>292</v>
      </c>
      <c r="C104" s="70" t="s">
        <v>293</v>
      </c>
      <c r="D104" s="22" t="s">
        <v>294</v>
      </c>
      <c r="E104" s="23">
        <v>301</v>
      </c>
      <c r="F104" s="24" t="s">
        <v>263</v>
      </c>
      <c r="G104" s="25">
        <f t="shared" si="103"/>
        <v>1294000000</v>
      </c>
      <c r="H104" s="25">
        <v>200000000</v>
      </c>
      <c r="I104" s="25">
        <v>268168096</v>
      </c>
      <c r="J104" s="25"/>
      <c r="K104" s="25">
        <v>701280247</v>
      </c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>
        <f>102551657+22000000</f>
        <v>124551657</v>
      </c>
      <c r="W104" s="25"/>
      <c r="X104" s="25"/>
      <c r="Y104" s="25"/>
      <c r="Z104" s="25"/>
      <c r="AB104" s="27">
        <f t="shared" si="104"/>
        <v>0.98299845440494593</v>
      </c>
      <c r="AC104" s="25">
        <f t="shared" si="105"/>
        <v>1272000000</v>
      </c>
      <c r="AD104" s="25"/>
      <c r="AE104" s="25">
        <f>+'[4]ENERO 2016'!$K$218</f>
        <v>200000000</v>
      </c>
      <c r="AF104" s="25">
        <f>+'[4]ENERO 2016'!$M$218</f>
        <v>268168096</v>
      </c>
      <c r="AG104" s="25"/>
      <c r="AH104" s="25">
        <f>+'[4]ENERO 2016'!$O$218</f>
        <v>701280247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>
        <f>+'[4]ENERO 2016'!$Z$218</f>
        <v>102551657</v>
      </c>
      <c r="AT104" s="25"/>
      <c r="AU104" s="25"/>
      <c r="AV104" s="25"/>
      <c r="AW104" s="25"/>
      <c r="AX104" s="27">
        <f t="shared" si="106"/>
        <v>1.7001545595054068E-2</v>
      </c>
      <c r="AY104" s="25">
        <f t="shared" si="107"/>
        <v>22000000</v>
      </c>
      <c r="AZ104" s="25">
        <f t="shared" si="108"/>
        <v>0</v>
      </c>
      <c r="BA104" s="25">
        <f t="shared" si="108"/>
        <v>0</v>
      </c>
      <c r="BB104" s="25">
        <f t="shared" si="108"/>
        <v>0</v>
      </c>
      <c r="BC104" s="25">
        <f t="shared" si="121"/>
        <v>0</v>
      </c>
      <c r="BD104" s="25">
        <f t="shared" si="121"/>
        <v>0</v>
      </c>
      <c r="BE104" s="25">
        <f t="shared" si="121"/>
        <v>0</v>
      </c>
      <c r="BF104" s="25">
        <f t="shared" si="121"/>
        <v>0</v>
      </c>
      <c r="BG104" s="25">
        <f t="shared" si="121"/>
        <v>0</v>
      </c>
      <c r="BH104" s="25">
        <f t="shared" si="121"/>
        <v>0</v>
      </c>
      <c r="BI104" s="25">
        <f t="shared" si="121"/>
        <v>0</v>
      </c>
      <c r="BJ104" s="25">
        <f t="shared" si="121"/>
        <v>0</v>
      </c>
      <c r="BK104" s="25">
        <f t="shared" si="121"/>
        <v>0</v>
      </c>
      <c r="BL104" s="25">
        <f t="shared" si="121"/>
        <v>0</v>
      </c>
      <c r="BM104" s="25">
        <f t="shared" si="121"/>
        <v>0</v>
      </c>
      <c r="BN104" s="25">
        <f t="shared" si="121"/>
        <v>22000000</v>
      </c>
      <c r="BO104" s="25"/>
      <c r="BP104" s="25"/>
      <c r="BQ104" s="25">
        <f t="shared" si="110"/>
        <v>0</v>
      </c>
      <c r="BR104" s="25">
        <f t="shared" si="122"/>
        <v>0</v>
      </c>
      <c r="BS104" s="27">
        <f t="shared" si="112"/>
        <v>0.981768271251932</v>
      </c>
      <c r="BT104" s="25">
        <f t="shared" si="113"/>
        <v>1270408143</v>
      </c>
      <c r="BU104" s="25"/>
      <c r="BV104" s="25">
        <f>+'[1]AGOSTO 2016'!$H$881</f>
        <v>198408143</v>
      </c>
      <c r="BW104" s="25">
        <v>268168096</v>
      </c>
      <c r="BX104" s="25"/>
      <c r="BY104" s="25">
        <v>701280247</v>
      </c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>
        <v>102551657</v>
      </c>
      <c r="CK104" s="25"/>
      <c r="CL104" s="25"/>
      <c r="CM104" s="25"/>
      <c r="CN104" s="25"/>
      <c r="CO104" s="27">
        <f t="shared" si="114"/>
        <v>1.8231728748067999E-2</v>
      </c>
      <c r="CP104" s="25">
        <f t="shared" si="115"/>
        <v>23591857</v>
      </c>
      <c r="CQ104" s="25">
        <f t="shared" si="116"/>
        <v>1591857</v>
      </c>
      <c r="CR104" s="25">
        <f t="shared" si="116"/>
        <v>0</v>
      </c>
      <c r="CS104" s="25">
        <f t="shared" si="116"/>
        <v>0</v>
      </c>
      <c r="CT104" s="25">
        <f t="shared" si="116"/>
        <v>0</v>
      </c>
      <c r="CU104" s="25">
        <f t="shared" si="116"/>
        <v>0</v>
      </c>
      <c r="CV104" s="25">
        <f t="shared" si="116"/>
        <v>0</v>
      </c>
      <c r="CW104" s="25">
        <f t="shared" si="123"/>
        <v>0</v>
      </c>
      <c r="CX104" s="25">
        <f t="shared" si="123"/>
        <v>0</v>
      </c>
      <c r="CY104" s="25">
        <f t="shared" si="116"/>
        <v>0</v>
      </c>
      <c r="CZ104" s="25">
        <f t="shared" si="118"/>
        <v>0</v>
      </c>
      <c r="DA104" s="25">
        <f t="shared" si="118"/>
        <v>0</v>
      </c>
      <c r="DB104" s="25">
        <f t="shared" si="118"/>
        <v>0</v>
      </c>
      <c r="DC104" s="25">
        <f t="shared" si="124"/>
        <v>0</v>
      </c>
      <c r="DD104" s="25">
        <f t="shared" si="124"/>
        <v>0</v>
      </c>
      <c r="DE104" s="25">
        <f t="shared" si="124"/>
        <v>22000000</v>
      </c>
      <c r="DF104" s="25"/>
      <c r="DG104" s="25">
        <f t="shared" si="125"/>
        <v>0</v>
      </c>
      <c r="DH104" s="25">
        <f t="shared" si="125"/>
        <v>0</v>
      </c>
      <c r="DI104" s="25">
        <f t="shared" si="125"/>
        <v>0</v>
      </c>
    </row>
    <row r="105" spans="1:114" ht="47.25" customHeight="1" x14ac:dyDescent="0.25">
      <c r="A105" s="203"/>
      <c r="B105" s="187"/>
      <c r="C105" s="70" t="s">
        <v>295</v>
      </c>
      <c r="D105" s="22" t="s">
        <v>296</v>
      </c>
      <c r="E105" s="23">
        <v>301</v>
      </c>
      <c r="F105" s="24" t="s">
        <v>263</v>
      </c>
      <c r="G105" s="25">
        <f t="shared" si="103"/>
        <v>20000000</v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>
        <v>20000000</v>
      </c>
      <c r="W105" s="25"/>
      <c r="X105" s="25"/>
      <c r="Y105" s="25"/>
      <c r="Z105" s="25"/>
      <c r="AB105" s="27">
        <f t="shared" si="104"/>
        <v>1</v>
      </c>
      <c r="AC105" s="25">
        <f t="shared" si="105"/>
        <v>20000000</v>
      </c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>
        <f>+'[4]ENERO 2016'!$Z$227</f>
        <v>20000000</v>
      </c>
      <c r="AT105" s="25"/>
      <c r="AU105" s="25"/>
      <c r="AV105" s="25"/>
      <c r="AW105" s="25"/>
      <c r="AX105" s="27">
        <f t="shared" si="106"/>
        <v>0</v>
      </c>
      <c r="AY105" s="25">
        <f t="shared" si="107"/>
        <v>0</v>
      </c>
      <c r="AZ105" s="25">
        <f t="shared" si="108"/>
        <v>0</v>
      </c>
      <c r="BA105" s="25">
        <f t="shared" si="108"/>
        <v>0</v>
      </c>
      <c r="BB105" s="25">
        <f t="shared" si="108"/>
        <v>0</v>
      </c>
      <c r="BC105" s="25">
        <f t="shared" si="121"/>
        <v>0</v>
      </c>
      <c r="BD105" s="25">
        <f t="shared" si="121"/>
        <v>0</v>
      </c>
      <c r="BE105" s="25">
        <f t="shared" si="121"/>
        <v>0</v>
      </c>
      <c r="BF105" s="25">
        <f t="shared" si="121"/>
        <v>0</v>
      </c>
      <c r="BG105" s="25">
        <f t="shared" si="121"/>
        <v>0</v>
      </c>
      <c r="BH105" s="25">
        <f t="shared" si="121"/>
        <v>0</v>
      </c>
      <c r="BI105" s="25">
        <f t="shared" si="121"/>
        <v>0</v>
      </c>
      <c r="BJ105" s="25">
        <f t="shared" si="121"/>
        <v>0</v>
      </c>
      <c r="BK105" s="25">
        <f t="shared" si="121"/>
        <v>0</v>
      </c>
      <c r="BL105" s="25">
        <f t="shared" si="121"/>
        <v>0</v>
      </c>
      <c r="BM105" s="25">
        <f t="shared" si="121"/>
        <v>0</v>
      </c>
      <c r="BN105" s="25">
        <f t="shared" si="121"/>
        <v>0</v>
      </c>
      <c r="BO105" s="25"/>
      <c r="BP105" s="25"/>
      <c r="BQ105" s="25">
        <f t="shared" si="110"/>
        <v>0</v>
      </c>
      <c r="BR105" s="25">
        <f t="shared" si="122"/>
        <v>0</v>
      </c>
      <c r="BS105" s="27">
        <f t="shared" si="112"/>
        <v>0.95945619999999998</v>
      </c>
      <c r="BT105" s="25">
        <f t="shared" si="113"/>
        <v>19189124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>
        <f>+'[1]AGOSTO 2016'!$H$899</f>
        <v>19189124</v>
      </c>
      <c r="CK105" s="25"/>
      <c r="CL105" s="25"/>
      <c r="CM105" s="25"/>
      <c r="CN105" s="25"/>
      <c r="CO105" s="27">
        <f t="shared" si="114"/>
        <v>4.0543800000000019E-2</v>
      </c>
      <c r="CP105" s="25">
        <f t="shared" si="115"/>
        <v>810876</v>
      </c>
      <c r="CQ105" s="25">
        <f t="shared" si="116"/>
        <v>0</v>
      </c>
      <c r="CR105" s="25">
        <f t="shared" si="116"/>
        <v>0</v>
      </c>
      <c r="CS105" s="25">
        <f t="shared" si="116"/>
        <v>0</v>
      </c>
      <c r="CT105" s="25">
        <f t="shared" si="116"/>
        <v>0</v>
      </c>
      <c r="CU105" s="25">
        <f t="shared" si="116"/>
        <v>0</v>
      </c>
      <c r="CV105" s="25">
        <f t="shared" si="116"/>
        <v>0</v>
      </c>
      <c r="CW105" s="25">
        <f t="shared" si="123"/>
        <v>0</v>
      </c>
      <c r="CX105" s="25">
        <f t="shared" si="123"/>
        <v>0</v>
      </c>
      <c r="CY105" s="25">
        <f t="shared" si="116"/>
        <v>0</v>
      </c>
      <c r="CZ105" s="25">
        <f t="shared" si="118"/>
        <v>0</v>
      </c>
      <c r="DA105" s="25">
        <f t="shared" si="118"/>
        <v>0</v>
      </c>
      <c r="DB105" s="25">
        <f t="shared" si="118"/>
        <v>0</v>
      </c>
      <c r="DC105" s="25">
        <f t="shared" si="124"/>
        <v>0</v>
      </c>
      <c r="DD105" s="25">
        <f t="shared" si="124"/>
        <v>0</v>
      </c>
      <c r="DE105" s="25">
        <f t="shared" si="124"/>
        <v>810876</v>
      </c>
      <c r="DF105" s="25"/>
      <c r="DG105" s="25">
        <f t="shared" si="125"/>
        <v>0</v>
      </c>
      <c r="DH105" s="25">
        <f t="shared" si="125"/>
        <v>0</v>
      </c>
      <c r="DI105" s="25">
        <f t="shared" si="125"/>
        <v>0</v>
      </c>
    </row>
    <row r="106" spans="1:114" ht="35.25" customHeight="1" x14ac:dyDescent="0.25">
      <c r="A106" s="203"/>
      <c r="B106" s="188"/>
      <c r="C106" s="70" t="s">
        <v>297</v>
      </c>
      <c r="D106" s="22" t="s">
        <v>298</v>
      </c>
      <c r="E106" s="91">
        <v>301</v>
      </c>
      <c r="F106" s="24" t="s">
        <v>263</v>
      </c>
      <c r="G106" s="25">
        <f t="shared" si="103"/>
        <v>100000000</v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>
        <v>100000000</v>
      </c>
      <c r="W106" s="25"/>
      <c r="X106" s="25"/>
      <c r="Y106" s="25"/>
      <c r="Z106" s="25"/>
      <c r="AB106" s="27">
        <f t="shared" si="104"/>
        <v>1</v>
      </c>
      <c r="AC106" s="25">
        <f t="shared" si="105"/>
        <v>100000000</v>
      </c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>
        <f>+'[3]ABRIL 2016'!$Z$480</f>
        <v>100000000</v>
      </c>
      <c r="AT106" s="25"/>
      <c r="AU106" s="25"/>
      <c r="AV106" s="25"/>
      <c r="AW106" s="25"/>
      <c r="AX106" s="27">
        <f t="shared" si="106"/>
        <v>0</v>
      </c>
      <c r="AY106" s="25">
        <f t="shared" si="107"/>
        <v>0</v>
      </c>
      <c r="AZ106" s="25">
        <f t="shared" si="108"/>
        <v>0</v>
      </c>
      <c r="BA106" s="25">
        <f t="shared" si="108"/>
        <v>0</v>
      </c>
      <c r="BB106" s="25">
        <f t="shared" si="108"/>
        <v>0</v>
      </c>
      <c r="BC106" s="25">
        <f t="shared" si="121"/>
        <v>0</v>
      </c>
      <c r="BD106" s="25">
        <f t="shared" si="121"/>
        <v>0</v>
      </c>
      <c r="BE106" s="25">
        <f t="shared" si="121"/>
        <v>0</v>
      </c>
      <c r="BF106" s="25">
        <f t="shared" si="121"/>
        <v>0</v>
      </c>
      <c r="BG106" s="25">
        <f t="shared" si="121"/>
        <v>0</v>
      </c>
      <c r="BH106" s="25">
        <f t="shared" si="121"/>
        <v>0</v>
      </c>
      <c r="BI106" s="25">
        <f t="shared" si="121"/>
        <v>0</v>
      </c>
      <c r="BJ106" s="25">
        <f t="shared" si="121"/>
        <v>0</v>
      </c>
      <c r="BK106" s="25">
        <f t="shared" si="121"/>
        <v>0</v>
      </c>
      <c r="BL106" s="25">
        <f t="shared" si="121"/>
        <v>0</v>
      </c>
      <c r="BM106" s="25">
        <f t="shared" si="121"/>
        <v>0</v>
      </c>
      <c r="BN106" s="25">
        <f t="shared" si="121"/>
        <v>0</v>
      </c>
      <c r="BO106" s="25"/>
      <c r="BP106" s="25"/>
      <c r="BQ106" s="25">
        <f t="shared" si="110"/>
        <v>0</v>
      </c>
      <c r="BR106" s="25">
        <f t="shared" si="122"/>
        <v>0</v>
      </c>
      <c r="BS106" s="27">
        <f t="shared" si="112"/>
        <v>0.79999646000000002</v>
      </c>
      <c r="BT106" s="25">
        <f t="shared" si="113"/>
        <v>79999646</v>
      </c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>
        <f>+'[1]AGOSTO 2016'!$H$904</f>
        <v>79999646</v>
      </c>
      <c r="CK106" s="25"/>
      <c r="CL106" s="25"/>
      <c r="CM106" s="25"/>
      <c r="CN106" s="25"/>
      <c r="CO106" s="27">
        <f t="shared" si="114"/>
        <v>0.20000353999999998</v>
      </c>
      <c r="CP106" s="25">
        <f t="shared" si="115"/>
        <v>20000354</v>
      </c>
      <c r="CQ106" s="25">
        <f t="shared" si="116"/>
        <v>0</v>
      </c>
      <c r="CR106" s="25">
        <f t="shared" si="116"/>
        <v>0</v>
      </c>
      <c r="CS106" s="25">
        <f t="shared" si="116"/>
        <v>0</v>
      </c>
      <c r="CT106" s="25">
        <f t="shared" si="116"/>
        <v>0</v>
      </c>
      <c r="CU106" s="25">
        <f t="shared" si="116"/>
        <v>0</v>
      </c>
      <c r="CV106" s="25">
        <f t="shared" si="116"/>
        <v>0</v>
      </c>
      <c r="CW106" s="25">
        <f t="shared" si="123"/>
        <v>0</v>
      </c>
      <c r="CX106" s="25">
        <f t="shared" si="123"/>
        <v>0</v>
      </c>
      <c r="CY106" s="25">
        <f t="shared" si="116"/>
        <v>0</v>
      </c>
      <c r="CZ106" s="25">
        <f t="shared" si="118"/>
        <v>0</v>
      </c>
      <c r="DA106" s="25">
        <f t="shared" si="118"/>
        <v>0</v>
      </c>
      <c r="DB106" s="25">
        <f t="shared" si="118"/>
        <v>0</v>
      </c>
      <c r="DC106" s="25">
        <f t="shared" si="124"/>
        <v>0</v>
      </c>
      <c r="DD106" s="25">
        <f t="shared" si="124"/>
        <v>0</v>
      </c>
      <c r="DE106" s="25">
        <f t="shared" si="124"/>
        <v>20000354</v>
      </c>
      <c r="DF106" s="25"/>
      <c r="DG106" s="25">
        <f t="shared" si="125"/>
        <v>0</v>
      </c>
      <c r="DH106" s="25">
        <f t="shared" si="125"/>
        <v>0</v>
      </c>
      <c r="DI106" s="25">
        <f t="shared" si="125"/>
        <v>0</v>
      </c>
    </row>
    <row r="107" spans="1:114" ht="46.5" customHeight="1" x14ac:dyDescent="0.25">
      <c r="A107" s="203"/>
      <c r="B107" s="90" t="s">
        <v>299</v>
      </c>
      <c r="C107" s="70" t="s">
        <v>300</v>
      </c>
      <c r="D107" s="22" t="s">
        <v>301</v>
      </c>
      <c r="E107" s="91">
        <v>301</v>
      </c>
      <c r="F107" s="24" t="s">
        <v>263</v>
      </c>
      <c r="G107" s="25">
        <f t="shared" si="103"/>
        <v>50000000</v>
      </c>
      <c r="H107" s="25"/>
      <c r="I107" s="25">
        <f>50000000-50000000</f>
        <v>0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>
        <f>21264791+28735209</f>
        <v>50000000</v>
      </c>
      <c r="V107" s="25"/>
      <c r="W107" s="25"/>
      <c r="X107" s="25"/>
      <c r="Y107" s="25"/>
      <c r="Z107" s="25"/>
      <c r="AB107" s="27">
        <f t="shared" si="104"/>
        <v>0.94517945999999997</v>
      </c>
      <c r="AC107" s="25">
        <f t="shared" si="105"/>
        <v>47258973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>
        <f>+'[1]AGOSTO 2016'!$Y$941</f>
        <v>47258973</v>
      </c>
      <c r="AS107" s="25"/>
      <c r="AT107" s="25"/>
      <c r="AU107" s="25"/>
      <c r="AV107" s="25"/>
      <c r="AW107" s="25"/>
      <c r="AX107" s="27">
        <f t="shared" si="106"/>
        <v>5.4820540000000029E-2</v>
      </c>
      <c r="AY107" s="25">
        <f t="shared" si="107"/>
        <v>2741027</v>
      </c>
      <c r="AZ107" s="25">
        <f t="shared" si="108"/>
        <v>0</v>
      </c>
      <c r="BA107" s="25">
        <f t="shared" si="108"/>
        <v>0</v>
      </c>
      <c r="BB107" s="25">
        <f t="shared" si="108"/>
        <v>0</v>
      </c>
      <c r="BC107" s="25">
        <f t="shared" si="121"/>
        <v>0</v>
      </c>
      <c r="BD107" s="25">
        <f t="shared" si="121"/>
        <v>0</v>
      </c>
      <c r="BE107" s="25">
        <f t="shared" si="121"/>
        <v>0</v>
      </c>
      <c r="BF107" s="25">
        <f t="shared" si="121"/>
        <v>0</v>
      </c>
      <c r="BG107" s="25">
        <f t="shared" si="121"/>
        <v>0</v>
      </c>
      <c r="BH107" s="25">
        <f t="shared" si="121"/>
        <v>0</v>
      </c>
      <c r="BI107" s="25">
        <f t="shared" si="121"/>
        <v>0</v>
      </c>
      <c r="BJ107" s="25">
        <f t="shared" si="121"/>
        <v>0</v>
      </c>
      <c r="BK107" s="25">
        <f t="shared" si="121"/>
        <v>0</v>
      </c>
      <c r="BL107" s="25">
        <f t="shared" si="121"/>
        <v>0</v>
      </c>
      <c r="BM107" s="25">
        <f t="shared" si="121"/>
        <v>2741027</v>
      </c>
      <c r="BN107" s="25">
        <f t="shared" si="121"/>
        <v>0</v>
      </c>
      <c r="BO107" s="25"/>
      <c r="BP107" s="25"/>
      <c r="BQ107" s="25">
        <f t="shared" si="110"/>
        <v>0</v>
      </c>
      <c r="BR107" s="25">
        <f t="shared" si="122"/>
        <v>0</v>
      </c>
      <c r="BS107" s="27">
        <f t="shared" si="112"/>
        <v>0.94517945999999997</v>
      </c>
      <c r="BT107" s="25">
        <f t="shared" si="113"/>
        <v>47258973</v>
      </c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>
        <f>+'[1]AGOSTO 2016'!$H$939</f>
        <v>47258973</v>
      </c>
      <c r="CJ107" s="25"/>
      <c r="CK107" s="25"/>
      <c r="CL107" s="25"/>
      <c r="CM107" s="25"/>
      <c r="CN107" s="25"/>
      <c r="CO107" s="27">
        <f t="shared" si="114"/>
        <v>5.4820540000000029E-2</v>
      </c>
      <c r="CP107" s="25">
        <f t="shared" si="115"/>
        <v>2741027</v>
      </c>
      <c r="CQ107" s="25">
        <f t="shared" si="116"/>
        <v>0</v>
      </c>
      <c r="CR107" s="25">
        <f t="shared" si="116"/>
        <v>0</v>
      </c>
      <c r="CS107" s="25">
        <f t="shared" si="116"/>
        <v>0</v>
      </c>
      <c r="CT107" s="25">
        <f t="shared" si="116"/>
        <v>0</v>
      </c>
      <c r="CU107" s="25">
        <f t="shared" si="116"/>
        <v>0</v>
      </c>
      <c r="CV107" s="25">
        <f t="shared" si="116"/>
        <v>0</v>
      </c>
      <c r="CW107" s="25">
        <f t="shared" si="123"/>
        <v>0</v>
      </c>
      <c r="CX107" s="25">
        <f t="shared" si="123"/>
        <v>0</v>
      </c>
      <c r="CY107" s="25">
        <f t="shared" si="116"/>
        <v>0</v>
      </c>
      <c r="CZ107" s="25">
        <f t="shared" si="118"/>
        <v>0</v>
      </c>
      <c r="DA107" s="25">
        <f t="shared" si="118"/>
        <v>0</v>
      </c>
      <c r="DB107" s="25">
        <f t="shared" si="118"/>
        <v>0</v>
      </c>
      <c r="DC107" s="25">
        <f t="shared" si="124"/>
        <v>0</v>
      </c>
      <c r="DD107" s="25">
        <f t="shared" si="124"/>
        <v>2741027</v>
      </c>
      <c r="DE107" s="25">
        <f t="shared" si="124"/>
        <v>0</v>
      </c>
      <c r="DF107" s="25"/>
      <c r="DG107" s="25">
        <f t="shared" si="125"/>
        <v>0</v>
      </c>
      <c r="DH107" s="25">
        <f t="shared" si="125"/>
        <v>0</v>
      </c>
      <c r="DI107" s="25">
        <f t="shared" si="125"/>
        <v>0</v>
      </c>
    </row>
    <row r="108" spans="1:114" s="47" customFormat="1" ht="21" customHeight="1" thickBot="1" x14ac:dyDescent="0.3">
      <c r="A108" s="74"/>
      <c r="B108" s="204" t="s">
        <v>302</v>
      </c>
      <c r="C108" s="205"/>
      <c r="D108" s="205"/>
      <c r="E108" s="205"/>
      <c r="F108" s="206"/>
      <c r="G108" s="63">
        <f t="shared" ref="G108:Z108" si="126">SUM(G93:G107)</f>
        <v>2606465655</v>
      </c>
      <c r="H108" s="63">
        <f t="shared" si="126"/>
        <v>200000000</v>
      </c>
      <c r="I108" s="63">
        <f t="shared" si="126"/>
        <v>268168096</v>
      </c>
      <c r="J108" s="63">
        <f t="shared" si="126"/>
        <v>0</v>
      </c>
      <c r="K108" s="63">
        <f t="shared" si="126"/>
        <v>701280247</v>
      </c>
      <c r="L108" s="63">
        <f t="shared" si="126"/>
        <v>0</v>
      </c>
      <c r="M108" s="63">
        <f t="shared" si="126"/>
        <v>0</v>
      </c>
      <c r="N108" s="63">
        <f t="shared" si="126"/>
        <v>0</v>
      </c>
      <c r="O108" s="63">
        <f t="shared" si="126"/>
        <v>0</v>
      </c>
      <c r="P108" s="63">
        <f t="shared" si="126"/>
        <v>0</v>
      </c>
      <c r="Q108" s="63">
        <f t="shared" si="126"/>
        <v>0</v>
      </c>
      <c r="R108" s="63">
        <f t="shared" si="126"/>
        <v>0</v>
      </c>
      <c r="S108" s="63">
        <f t="shared" si="126"/>
        <v>0</v>
      </c>
      <c r="T108" s="63">
        <f t="shared" si="126"/>
        <v>0</v>
      </c>
      <c r="U108" s="63">
        <f t="shared" si="126"/>
        <v>103185104</v>
      </c>
      <c r="V108" s="63">
        <f t="shared" si="126"/>
        <v>1262551657</v>
      </c>
      <c r="W108" s="63">
        <f t="shared" si="126"/>
        <v>0</v>
      </c>
      <c r="X108" s="63">
        <f t="shared" si="126"/>
        <v>0</v>
      </c>
      <c r="Y108" s="63">
        <f t="shared" si="126"/>
        <v>0</v>
      </c>
      <c r="Z108" s="63">
        <f t="shared" si="126"/>
        <v>71280551</v>
      </c>
      <c r="AB108" s="43">
        <f t="shared" si="104"/>
        <v>0.86550847645832496</v>
      </c>
      <c r="AC108" s="63">
        <f>SUM(AC93:AC107)</f>
        <v>2255918118</v>
      </c>
      <c r="AD108" s="63"/>
      <c r="AE108" s="63">
        <f>SUM(AE93:AE107)</f>
        <v>200000000</v>
      </c>
      <c r="AF108" s="63">
        <f t="shared" ref="AF108:AW108" si="127">SUM(AF93:AF107)</f>
        <v>268168096</v>
      </c>
      <c r="AG108" s="63">
        <f t="shared" si="127"/>
        <v>0</v>
      </c>
      <c r="AH108" s="63">
        <f t="shared" si="127"/>
        <v>701280247</v>
      </c>
      <c r="AI108" s="63">
        <f t="shared" si="127"/>
        <v>0</v>
      </c>
      <c r="AJ108" s="63">
        <f t="shared" si="127"/>
        <v>0</v>
      </c>
      <c r="AK108" s="63">
        <f t="shared" si="127"/>
        <v>0</v>
      </c>
      <c r="AL108" s="63">
        <f t="shared" si="127"/>
        <v>0</v>
      </c>
      <c r="AM108" s="63">
        <f t="shared" si="127"/>
        <v>0</v>
      </c>
      <c r="AN108" s="63">
        <f t="shared" si="127"/>
        <v>0</v>
      </c>
      <c r="AO108" s="63">
        <f t="shared" si="127"/>
        <v>0</v>
      </c>
      <c r="AP108" s="63">
        <f t="shared" si="127"/>
        <v>0</v>
      </c>
      <c r="AQ108" s="63">
        <f t="shared" si="127"/>
        <v>0</v>
      </c>
      <c r="AR108" s="63">
        <f t="shared" si="127"/>
        <v>47258973</v>
      </c>
      <c r="AS108" s="63">
        <f t="shared" si="127"/>
        <v>1011320055</v>
      </c>
      <c r="AT108" s="63">
        <f t="shared" si="127"/>
        <v>0</v>
      </c>
      <c r="AU108" s="63">
        <f t="shared" si="127"/>
        <v>0</v>
      </c>
      <c r="AV108" s="63">
        <f t="shared" si="127"/>
        <v>0</v>
      </c>
      <c r="AW108" s="63">
        <f t="shared" si="127"/>
        <v>27890747</v>
      </c>
      <c r="AX108" s="43">
        <f t="shared" si="106"/>
        <v>0.13449152354167504</v>
      </c>
      <c r="AY108" s="63">
        <f>SUM(AY93:AY107)</f>
        <v>350547537</v>
      </c>
      <c r="AZ108" s="63">
        <f t="shared" ref="AZ108:BR108" si="128">SUM(AZ93:AZ107)</f>
        <v>0</v>
      </c>
      <c r="BA108" s="63">
        <f t="shared" si="128"/>
        <v>0</v>
      </c>
      <c r="BB108" s="63">
        <f t="shared" si="128"/>
        <v>0</v>
      </c>
      <c r="BC108" s="63">
        <f t="shared" si="128"/>
        <v>0</v>
      </c>
      <c r="BD108" s="63">
        <f t="shared" si="128"/>
        <v>0</v>
      </c>
      <c r="BE108" s="63">
        <f t="shared" si="128"/>
        <v>0</v>
      </c>
      <c r="BF108" s="63">
        <f t="shared" si="128"/>
        <v>0</v>
      </c>
      <c r="BG108" s="63">
        <f t="shared" si="128"/>
        <v>0</v>
      </c>
      <c r="BH108" s="63">
        <f t="shared" si="128"/>
        <v>0</v>
      </c>
      <c r="BI108" s="63">
        <f t="shared" si="128"/>
        <v>0</v>
      </c>
      <c r="BJ108" s="63">
        <f t="shared" si="128"/>
        <v>0</v>
      </c>
      <c r="BK108" s="63">
        <f t="shared" si="128"/>
        <v>0</v>
      </c>
      <c r="BL108" s="63">
        <f t="shared" si="128"/>
        <v>0</v>
      </c>
      <c r="BM108" s="63">
        <f t="shared" si="128"/>
        <v>55926131</v>
      </c>
      <c r="BN108" s="63">
        <f t="shared" si="128"/>
        <v>251231602</v>
      </c>
      <c r="BO108" s="63">
        <f t="shared" si="128"/>
        <v>0</v>
      </c>
      <c r="BP108" s="63">
        <f t="shared" si="128"/>
        <v>0</v>
      </c>
      <c r="BQ108" s="63">
        <f t="shared" si="128"/>
        <v>0</v>
      </c>
      <c r="BR108" s="63">
        <f t="shared" si="128"/>
        <v>43389804</v>
      </c>
      <c r="BS108" s="43">
        <f t="shared" si="112"/>
        <v>0.83144427851668734</v>
      </c>
      <c r="BT108" s="63">
        <f>SUM(BT93:BT107)</f>
        <v>2167130956</v>
      </c>
      <c r="BU108" s="63">
        <f>SUM(BU93:BU107)</f>
        <v>0</v>
      </c>
      <c r="BV108" s="63">
        <f>SUM(BV93:BV107)</f>
        <v>198408143</v>
      </c>
      <c r="BW108" s="63">
        <f>SUM(BW93:BW107)</f>
        <v>268168096</v>
      </c>
      <c r="BX108" s="63"/>
      <c r="BY108" s="63">
        <f>SUM(BY93:BY107)</f>
        <v>701280247</v>
      </c>
      <c r="BZ108" s="63">
        <f>SUM(BZ93:BZ107)</f>
        <v>0</v>
      </c>
      <c r="CA108" s="63"/>
      <c r="CB108" s="63">
        <f t="shared" ref="CB108:CJ108" si="129">SUM(CB93:CB107)</f>
        <v>0</v>
      </c>
      <c r="CC108" s="63">
        <f t="shared" si="129"/>
        <v>0</v>
      </c>
      <c r="CD108" s="63">
        <f t="shared" si="129"/>
        <v>0</v>
      </c>
      <c r="CE108" s="63">
        <f t="shared" si="129"/>
        <v>0</v>
      </c>
      <c r="CF108" s="63">
        <f t="shared" si="129"/>
        <v>0</v>
      </c>
      <c r="CG108" s="63">
        <f t="shared" si="129"/>
        <v>0</v>
      </c>
      <c r="CH108" s="63">
        <f t="shared" si="129"/>
        <v>0</v>
      </c>
      <c r="CI108" s="63">
        <f t="shared" si="129"/>
        <v>47258973</v>
      </c>
      <c r="CJ108" s="63">
        <f t="shared" si="129"/>
        <v>925219270</v>
      </c>
      <c r="CK108" s="63"/>
      <c r="CL108" s="63">
        <f>SUM(CL93:CL107)</f>
        <v>0</v>
      </c>
      <c r="CM108" s="63">
        <f>SUM(CM93:CM107)</f>
        <v>0</v>
      </c>
      <c r="CN108" s="63">
        <f>SUM(CN93:CN107)</f>
        <v>26796227</v>
      </c>
      <c r="CO108" s="43">
        <f t="shared" si="114"/>
        <v>0.16855572148331266</v>
      </c>
      <c r="CP108" s="63">
        <f t="shared" ref="CP108:DI108" si="130">SUM(CP93:CP107)</f>
        <v>439334699</v>
      </c>
      <c r="CQ108" s="63">
        <f t="shared" si="130"/>
        <v>1591857</v>
      </c>
      <c r="CR108" s="63">
        <f t="shared" si="130"/>
        <v>0</v>
      </c>
      <c r="CS108" s="63">
        <f t="shared" si="130"/>
        <v>0</v>
      </c>
      <c r="CT108" s="63">
        <f t="shared" si="130"/>
        <v>0</v>
      </c>
      <c r="CU108" s="63">
        <f t="shared" si="130"/>
        <v>0</v>
      </c>
      <c r="CV108" s="63">
        <f t="shared" si="130"/>
        <v>0</v>
      </c>
      <c r="CW108" s="63">
        <f t="shared" si="130"/>
        <v>0</v>
      </c>
      <c r="CX108" s="63">
        <f t="shared" si="130"/>
        <v>0</v>
      </c>
      <c r="CY108" s="63">
        <f t="shared" si="130"/>
        <v>0</v>
      </c>
      <c r="CZ108" s="63">
        <f t="shared" si="130"/>
        <v>0</v>
      </c>
      <c r="DA108" s="63">
        <f t="shared" si="130"/>
        <v>0</v>
      </c>
      <c r="DB108" s="63">
        <f t="shared" si="130"/>
        <v>0</v>
      </c>
      <c r="DC108" s="63">
        <f t="shared" si="130"/>
        <v>0</v>
      </c>
      <c r="DD108" s="63">
        <f t="shared" si="130"/>
        <v>55926131</v>
      </c>
      <c r="DE108" s="63">
        <f t="shared" si="130"/>
        <v>337332387</v>
      </c>
      <c r="DF108" s="63">
        <f t="shared" si="130"/>
        <v>0</v>
      </c>
      <c r="DG108" s="63">
        <f t="shared" si="130"/>
        <v>0</v>
      </c>
      <c r="DH108" s="63">
        <f t="shared" si="130"/>
        <v>0</v>
      </c>
      <c r="DI108" s="92">
        <f t="shared" si="130"/>
        <v>44484324</v>
      </c>
    </row>
    <row r="109" spans="1:114" ht="51" customHeight="1" thickTop="1" x14ac:dyDescent="0.25">
      <c r="A109" s="196" t="s">
        <v>303</v>
      </c>
      <c r="B109" s="192" t="s">
        <v>304</v>
      </c>
      <c r="C109" s="70" t="s">
        <v>305</v>
      </c>
      <c r="D109" s="22" t="s">
        <v>306</v>
      </c>
      <c r="E109" s="93">
        <v>111</v>
      </c>
      <c r="F109" s="24" t="s">
        <v>307</v>
      </c>
      <c r="G109" s="25">
        <f t="shared" ref="G109:G127" si="131">SUM(H109:Z109)</f>
        <v>2779574241</v>
      </c>
      <c r="H109" s="25"/>
      <c r="I109" s="25">
        <f>2264025000</f>
        <v>2264025000</v>
      </c>
      <c r="J109" s="25">
        <f>72450095-52147109</f>
        <v>20302986</v>
      </c>
      <c r="K109" s="25"/>
      <c r="L109" s="25"/>
      <c r="M109" s="25">
        <f>54387</f>
        <v>54387</v>
      </c>
      <c r="N109" s="25">
        <f>30665828</f>
        <v>30665828</v>
      </c>
      <c r="O109" s="25">
        <f>1940856</f>
        <v>1940856</v>
      </c>
      <c r="P109" s="25"/>
      <c r="Q109" s="56">
        <f>60000000+100000000</f>
        <v>160000000</v>
      </c>
      <c r="R109" s="25"/>
      <c r="S109" s="25"/>
      <c r="T109" s="25"/>
      <c r="U109" s="25"/>
      <c r="V109" s="25"/>
      <c r="W109" s="25"/>
      <c r="X109" s="25"/>
      <c r="Y109" s="25"/>
      <c r="Z109" s="25">
        <f>28000000+784585184-485000000-9000000-16000000</f>
        <v>302585184</v>
      </c>
      <c r="AA109" s="94"/>
      <c r="AB109" s="27">
        <f t="shared" si="104"/>
        <v>0.48238470598202671</v>
      </c>
      <c r="AC109" s="25">
        <f t="shared" ref="AC109:AC127" si="132">SUM(AD109:AW109)</f>
        <v>1340824103</v>
      </c>
      <c r="AD109" s="25"/>
      <c r="AE109" s="25"/>
      <c r="AF109" s="25">
        <f>+'[1]AGOSTO 2016'!$M$18</f>
        <v>1339144887</v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>
        <f>+'[1]AGOSTO 2016'!$AG$18</f>
        <v>1679216</v>
      </c>
      <c r="AX109" s="27">
        <f t="shared" si="106"/>
        <v>0.51761529401797324</v>
      </c>
      <c r="AY109" s="25">
        <f t="shared" ref="AY109:AY127" si="133">SUM(AZ109:BR109)</f>
        <v>1438750138</v>
      </c>
      <c r="AZ109" s="25">
        <f t="shared" ref="AZ109:BN120" si="134">H109-AE109</f>
        <v>0</v>
      </c>
      <c r="BA109" s="25">
        <f t="shared" si="134"/>
        <v>924880113</v>
      </c>
      <c r="BB109" s="25">
        <f t="shared" si="134"/>
        <v>20302986</v>
      </c>
      <c r="BC109" s="25">
        <f t="shared" ref="BC109:BN119" si="135">+K109-AH109</f>
        <v>0</v>
      </c>
      <c r="BD109" s="25">
        <f t="shared" si="135"/>
        <v>0</v>
      </c>
      <c r="BE109" s="25">
        <f t="shared" si="135"/>
        <v>54387</v>
      </c>
      <c r="BF109" s="25">
        <f t="shared" si="135"/>
        <v>30665828</v>
      </c>
      <c r="BG109" s="25">
        <f t="shared" si="135"/>
        <v>1940856</v>
      </c>
      <c r="BH109" s="25">
        <f t="shared" si="135"/>
        <v>0</v>
      </c>
      <c r="BI109" s="25">
        <f t="shared" si="135"/>
        <v>160000000</v>
      </c>
      <c r="BJ109" s="25">
        <f t="shared" si="135"/>
        <v>0</v>
      </c>
      <c r="BK109" s="25">
        <f t="shared" si="135"/>
        <v>0</v>
      </c>
      <c r="BL109" s="25">
        <f t="shared" si="135"/>
        <v>0</v>
      </c>
      <c r="BM109" s="25">
        <f t="shared" si="135"/>
        <v>0</v>
      </c>
      <c r="BN109" s="25">
        <f t="shared" si="135"/>
        <v>0</v>
      </c>
      <c r="BO109" s="25"/>
      <c r="BP109" s="25"/>
      <c r="BQ109" s="25">
        <f t="shared" ref="BQ109:BQ120" si="136">Y109-AV109</f>
        <v>0</v>
      </c>
      <c r="BR109" s="25">
        <f t="shared" ref="BR109:BR119" si="137">+Z109-AW109</f>
        <v>300905968</v>
      </c>
      <c r="BS109" s="27">
        <f t="shared" si="112"/>
        <v>0.45103902623193148</v>
      </c>
      <c r="BT109" s="25">
        <f t="shared" ref="BT109:BT127" si="138">SUM(BU109:CN109)</f>
        <v>1253696459</v>
      </c>
      <c r="BU109" s="25"/>
      <c r="BV109" s="25"/>
      <c r="BW109" s="25">
        <f>+'[1]AGOSTO 2016'!$H$16-AW109</f>
        <v>1252017243</v>
      </c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>
        <f>+'[1]AGOSTO 2016'!$H$29</f>
        <v>1679216</v>
      </c>
      <c r="CO109" s="27">
        <f t="shared" si="114"/>
        <v>0.54896097376806852</v>
      </c>
      <c r="CP109" s="25">
        <f t="shared" ref="CP109:CP127" si="139">SUM(CQ109:DI109)</f>
        <v>1525877782</v>
      </c>
      <c r="CQ109" s="25">
        <f t="shared" ref="CQ109:CV120" si="140">H109-BV109</f>
        <v>0</v>
      </c>
      <c r="CR109" s="25">
        <f t="shared" si="140"/>
        <v>1012007757</v>
      </c>
      <c r="CS109" s="25">
        <f t="shared" si="140"/>
        <v>20302986</v>
      </c>
      <c r="CT109" s="25">
        <f t="shared" si="140"/>
        <v>0</v>
      </c>
      <c r="CU109" s="25">
        <f t="shared" si="140"/>
        <v>0</v>
      </c>
      <c r="CV109" s="25">
        <f t="shared" si="140"/>
        <v>54387</v>
      </c>
      <c r="CW109" s="25">
        <f t="shared" ref="CW109:CY119" si="141">+N109-CB109</f>
        <v>30665828</v>
      </c>
      <c r="CX109" s="25">
        <f t="shared" si="141"/>
        <v>1940856</v>
      </c>
      <c r="CY109" s="25">
        <f t="shared" si="141"/>
        <v>0</v>
      </c>
      <c r="CZ109" s="25">
        <f t="shared" ref="CZ109:DB120" si="142">Q109-CE109</f>
        <v>160000000</v>
      </c>
      <c r="DA109" s="25">
        <f t="shared" si="142"/>
        <v>0</v>
      </c>
      <c r="DB109" s="25">
        <f t="shared" si="142"/>
        <v>0</v>
      </c>
      <c r="DC109" s="25">
        <f t="shared" ref="DC109:DE119" si="143">+T109-CH109</f>
        <v>0</v>
      </c>
      <c r="DD109" s="25">
        <f t="shared" si="143"/>
        <v>0</v>
      </c>
      <c r="DE109" s="25">
        <f t="shared" si="143"/>
        <v>0</v>
      </c>
      <c r="DF109" s="25"/>
      <c r="DG109" s="25">
        <f t="shared" ref="DG109:DI119" si="144">+X109-CL109</f>
        <v>0</v>
      </c>
      <c r="DH109" s="25">
        <f t="shared" si="144"/>
        <v>0</v>
      </c>
      <c r="DI109" s="25">
        <f t="shared" si="144"/>
        <v>300905968</v>
      </c>
    </row>
    <row r="110" spans="1:114" s="59" customFormat="1" ht="36" customHeight="1" x14ac:dyDescent="0.25">
      <c r="A110" s="193"/>
      <c r="B110" s="187"/>
      <c r="C110" s="57" t="s">
        <v>308</v>
      </c>
      <c r="D110" s="22" t="s">
        <v>309</v>
      </c>
      <c r="E110" s="91">
        <v>111</v>
      </c>
      <c r="F110" s="24" t="s">
        <v>310</v>
      </c>
      <c r="G110" s="25">
        <f t="shared" si="131"/>
        <v>1157377551</v>
      </c>
      <c r="H110" s="56"/>
      <c r="I110" s="56">
        <f>982978733+50000000</f>
        <v>1032978733</v>
      </c>
      <c r="J110" s="56">
        <v>39062301</v>
      </c>
      <c r="K110" s="56"/>
      <c r="L110" s="56"/>
      <c r="M110" s="56"/>
      <c r="N110" s="56"/>
      <c r="O110" s="56"/>
      <c r="P110" s="56">
        <f>3438802</f>
        <v>3438802</v>
      </c>
      <c r="Q110" s="56">
        <f>50000000</f>
        <v>50000000</v>
      </c>
      <c r="R110" s="56"/>
      <c r="S110" s="56"/>
      <c r="T110" s="56"/>
      <c r="U110" s="56"/>
      <c r="V110" s="56"/>
      <c r="W110" s="56"/>
      <c r="X110" s="56"/>
      <c r="Y110" s="56"/>
      <c r="Z110" s="56">
        <f>12000000+1000000+2897715+16000000</f>
        <v>31897715</v>
      </c>
      <c r="AA110" s="95"/>
      <c r="AB110" s="60">
        <f t="shared" si="104"/>
        <v>0.93630403930307438</v>
      </c>
      <c r="AC110" s="25">
        <f t="shared" si="132"/>
        <v>1083657276</v>
      </c>
      <c r="AD110" s="56"/>
      <c r="AE110" s="56"/>
      <c r="AF110" s="56">
        <f>+'[1]AGOSTO 2016'!$M$34</f>
        <v>982960403</v>
      </c>
      <c r="AG110" s="56">
        <f>+'[6]JULIO 2016'!$N$31</f>
        <v>37846647</v>
      </c>
      <c r="AH110" s="56"/>
      <c r="AI110" s="56"/>
      <c r="AJ110" s="56"/>
      <c r="AK110" s="56"/>
      <c r="AL110" s="56"/>
      <c r="AM110" s="56"/>
      <c r="AN110" s="25">
        <f>+'[8]MAYO 2016'!$U$31</f>
        <v>49856575</v>
      </c>
      <c r="AO110" s="56"/>
      <c r="AP110" s="56"/>
      <c r="AQ110" s="56"/>
      <c r="AR110" s="56"/>
      <c r="AS110" s="56"/>
      <c r="AT110" s="56"/>
      <c r="AU110" s="56"/>
      <c r="AV110" s="56"/>
      <c r="AW110" s="56">
        <f>+'[1]AGOSTO 2016'!$AG$34</f>
        <v>12993651</v>
      </c>
      <c r="AX110" s="60">
        <f t="shared" si="106"/>
        <v>6.3695960696925624E-2</v>
      </c>
      <c r="AY110" s="25">
        <f t="shared" si="133"/>
        <v>73720275</v>
      </c>
      <c r="AZ110" s="56">
        <f t="shared" si="134"/>
        <v>0</v>
      </c>
      <c r="BA110" s="56">
        <f t="shared" si="134"/>
        <v>50018330</v>
      </c>
      <c r="BB110" s="56">
        <f t="shared" si="134"/>
        <v>1215654</v>
      </c>
      <c r="BC110" s="56">
        <f t="shared" si="135"/>
        <v>0</v>
      </c>
      <c r="BD110" s="56">
        <f t="shared" si="135"/>
        <v>0</v>
      </c>
      <c r="BE110" s="25">
        <f t="shared" si="135"/>
        <v>0</v>
      </c>
      <c r="BF110" s="56">
        <f t="shared" si="135"/>
        <v>0</v>
      </c>
      <c r="BG110" s="56">
        <f t="shared" si="135"/>
        <v>0</v>
      </c>
      <c r="BH110" s="56">
        <f t="shared" si="135"/>
        <v>3438802</v>
      </c>
      <c r="BI110" s="56">
        <f t="shared" si="135"/>
        <v>143425</v>
      </c>
      <c r="BJ110" s="56">
        <f t="shared" si="135"/>
        <v>0</v>
      </c>
      <c r="BK110" s="56">
        <f t="shared" si="135"/>
        <v>0</v>
      </c>
      <c r="BL110" s="56">
        <f t="shared" si="135"/>
        <v>0</v>
      </c>
      <c r="BM110" s="56">
        <f t="shared" si="135"/>
        <v>0</v>
      </c>
      <c r="BN110" s="56">
        <f t="shared" si="135"/>
        <v>0</v>
      </c>
      <c r="BO110" s="56"/>
      <c r="BP110" s="56"/>
      <c r="BQ110" s="25">
        <f t="shared" si="136"/>
        <v>0</v>
      </c>
      <c r="BR110" s="56">
        <f t="shared" si="137"/>
        <v>18904064</v>
      </c>
      <c r="BS110" s="60">
        <f t="shared" si="112"/>
        <v>0.69640396887221112</v>
      </c>
      <c r="BT110" s="25">
        <f t="shared" si="138"/>
        <v>806002320</v>
      </c>
      <c r="BU110" s="56"/>
      <c r="BV110" s="56"/>
      <c r="BW110" s="56">
        <f>'[1]AGOSTO 2016'!$H$36+'[1]AGOSTO 2016'!$H$39+'[1]AGOSTO 2016'!$H$41+'[1]AGOSTO 2016'!$H$44+'[1]AGOSTO 2016'!$H$46+'[1]AGOSTO 2016'!$H$49+'[1]AGOSTO 2016'!$H$51+'[1]AGOSTO 2016'!$H$53+'[1]AGOSTO 2016'!$H$55+'[1]AGOSTO 2016'!$H$59+'[1]AGOSTO 2016'!$H$66+'[1]AGOSTO 2016'!$H$74</f>
        <v>712441894</v>
      </c>
      <c r="BX110" s="56">
        <f>+'[7]JUNIO 2016'!$H$56</f>
        <v>30710300</v>
      </c>
      <c r="BY110" s="56"/>
      <c r="BZ110" s="56"/>
      <c r="CA110" s="56"/>
      <c r="CB110" s="56"/>
      <c r="CC110" s="56"/>
      <c r="CD110" s="56"/>
      <c r="CE110" s="56">
        <f>+'[3]ABRIL 2016'!$H$34</f>
        <v>49856575</v>
      </c>
      <c r="CF110" s="56"/>
      <c r="CG110" s="56"/>
      <c r="CH110" s="56"/>
      <c r="CI110" s="56"/>
      <c r="CJ110" s="56"/>
      <c r="CK110" s="56"/>
      <c r="CL110" s="56"/>
      <c r="CM110" s="56"/>
      <c r="CN110" s="56">
        <f>+'[1]AGOSTO 2016'!$H$57+'[1]AGOSTO 2016'!$H$63+'[1]AGOSTO 2016'!$H$64+'[1]AGOSTO 2016'!$H$68+'[1]AGOSTO 2016'!$H$71+'[1]AGOSTO 2016'!$H$77+'[1]AGOSTO 2016'!$H$78</f>
        <v>12993551</v>
      </c>
      <c r="CO110" s="60">
        <f t="shared" si="114"/>
        <v>0.30359603112778888</v>
      </c>
      <c r="CP110" s="25">
        <f t="shared" si="139"/>
        <v>351375231</v>
      </c>
      <c r="CQ110" s="25">
        <f t="shared" si="140"/>
        <v>0</v>
      </c>
      <c r="CR110" s="56">
        <f t="shared" si="140"/>
        <v>320536839</v>
      </c>
      <c r="CS110" s="56">
        <f t="shared" si="140"/>
        <v>8352001</v>
      </c>
      <c r="CT110" s="56">
        <f t="shared" si="140"/>
        <v>0</v>
      </c>
      <c r="CU110" s="56">
        <f t="shared" si="140"/>
        <v>0</v>
      </c>
      <c r="CV110" s="25">
        <f t="shared" si="140"/>
        <v>0</v>
      </c>
      <c r="CW110" s="56">
        <f t="shared" si="141"/>
        <v>0</v>
      </c>
      <c r="CX110" s="56">
        <f t="shared" si="141"/>
        <v>0</v>
      </c>
      <c r="CY110" s="25">
        <f t="shared" si="141"/>
        <v>3438802</v>
      </c>
      <c r="CZ110" s="56">
        <f t="shared" si="142"/>
        <v>143425</v>
      </c>
      <c r="DA110" s="56">
        <f t="shared" si="142"/>
        <v>0</v>
      </c>
      <c r="DB110" s="56">
        <f t="shared" si="142"/>
        <v>0</v>
      </c>
      <c r="DC110" s="56">
        <f t="shared" si="143"/>
        <v>0</v>
      </c>
      <c r="DD110" s="56">
        <f t="shared" si="143"/>
        <v>0</v>
      </c>
      <c r="DE110" s="56">
        <f t="shared" si="143"/>
        <v>0</v>
      </c>
      <c r="DF110" s="56"/>
      <c r="DG110" s="56">
        <f t="shared" si="144"/>
        <v>0</v>
      </c>
      <c r="DH110" s="25">
        <f t="shared" si="144"/>
        <v>0</v>
      </c>
      <c r="DI110" s="56">
        <f t="shared" si="144"/>
        <v>18904164</v>
      </c>
    </row>
    <row r="111" spans="1:114" ht="41.25" customHeight="1" x14ac:dyDescent="0.25">
      <c r="A111" s="193"/>
      <c r="B111" s="188"/>
      <c r="C111" s="70" t="s">
        <v>311</v>
      </c>
      <c r="D111" s="22" t="s">
        <v>312</v>
      </c>
      <c r="E111" s="93">
        <v>111</v>
      </c>
      <c r="F111" s="24" t="s">
        <v>313</v>
      </c>
      <c r="G111" s="25">
        <f t="shared" si="131"/>
        <v>152147109</v>
      </c>
      <c r="H111" s="25"/>
      <c r="I111" s="25"/>
      <c r="J111" s="25">
        <f>59490931+52147109</f>
        <v>111638040</v>
      </c>
      <c r="K111" s="25"/>
      <c r="L111" s="25"/>
      <c r="M111" s="25"/>
      <c r="N111" s="25"/>
      <c r="O111" s="25"/>
      <c r="P111" s="25"/>
      <c r="Q111" s="56">
        <f>140509069-100000000</f>
        <v>40509069</v>
      </c>
      <c r="R111" s="25"/>
      <c r="S111" s="25"/>
      <c r="T111" s="25"/>
      <c r="U111" s="25"/>
      <c r="V111" s="25"/>
      <c r="W111" s="25"/>
      <c r="X111" s="25"/>
      <c r="Y111" s="25"/>
      <c r="Z111" s="25"/>
      <c r="AA111" s="94"/>
      <c r="AB111" s="27">
        <f t="shared" si="104"/>
        <v>0.29338736893120987</v>
      </c>
      <c r="AC111" s="25">
        <f t="shared" si="132"/>
        <v>44638040</v>
      </c>
      <c r="AD111" s="25"/>
      <c r="AE111" s="25"/>
      <c r="AF111" s="25"/>
      <c r="AG111" s="25">
        <f>+'[6]JULIO 2016'!$N$77</f>
        <v>14638040</v>
      </c>
      <c r="AH111" s="25"/>
      <c r="AI111" s="25"/>
      <c r="AJ111" s="25"/>
      <c r="AK111" s="25"/>
      <c r="AL111" s="25"/>
      <c r="AM111" s="25"/>
      <c r="AN111" s="25">
        <f>+'[3]ABRIL 2016'!$U$50</f>
        <v>30000000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7">
        <f t="shared" si="106"/>
        <v>0.70661263106879013</v>
      </c>
      <c r="AY111" s="25">
        <f t="shared" si="133"/>
        <v>107509069</v>
      </c>
      <c r="AZ111" s="25">
        <f t="shared" si="134"/>
        <v>0</v>
      </c>
      <c r="BA111" s="25">
        <f t="shared" si="134"/>
        <v>0</v>
      </c>
      <c r="BB111" s="25">
        <f t="shared" si="134"/>
        <v>97000000</v>
      </c>
      <c r="BC111" s="25">
        <f t="shared" si="135"/>
        <v>0</v>
      </c>
      <c r="BD111" s="25">
        <f t="shared" si="135"/>
        <v>0</v>
      </c>
      <c r="BE111" s="25">
        <f t="shared" si="135"/>
        <v>0</v>
      </c>
      <c r="BF111" s="25">
        <f t="shared" si="135"/>
        <v>0</v>
      </c>
      <c r="BG111" s="25">
        <f t="shared" si="135"/>
        <v>0</v>
      </c>
      <c r="BH111" s="25">
        <f t="shared" si="135"/>
        <v>0</v>
      </c>
      <c r="BI111" s="25">
        <f t="shared" si="135"/>
        <v>10509069</v>
      </c>
      <c r="BJ111" s="25">
        <f t="shared" si="135"/>
        <v>0</v>
      </c>
      <c r="BK111" s="25">
        <f t="shared" si="135"/>
        <v>0</v>
      </c>
      <c r="BL111" s="25">
        <f t="shared" si="135"/>
        <v>0</v>
      </c>
      <c r="BM111" s="25">
        <f t="shared" si="135"/>
        <v>0</v>
      </c>
      <c r="BN111" s="25">
        <f t="shared" si="135"/>
        <v>0</v>
      </c>
      <c r="BO111" s="25"/>
      <c r="BP111" s="25"/>
      <c r="BQ111" s="25">
        <f t="shared" si="136"/>
        <v>0</v>
      </c>
      <c r="BR111" s="25">
        <f t="shared" si="137"/>
        <v>0</v>
      </c>
      <c r="BS111" s="27">
        <f t="shared" si="112"/>
        <v>0.29338736893120987</v>
      </c>
      <c r="BT111" s="25">
        <f t="shared" si="138"/>
        <v>44638040</v>
      </c>
      <c r="BU111" s="25"/>
      <c r="BV111" s="25"/>
      <c r="BW111" s="25"/>
      <c r="BX111" s="25">
        <f>+'[7]JUNIO 2016'!$H$67+'[7]JUNIO 2016'!$H$70</f>
        <v>14638040</v>
      </c>
      <c r="BY111" s="25"/>
      <c r="BZ111" s="25"/>
      <c r="CA111" s="25"/>
      <c r="CB111" s="25"/>
      <c r="CC111" s="25"/>
      <c r="CD111" s="25"/>
      <c r="CE111" s="25">
        <f>+'[8]MAYO 2016'!$H$62</f>
        <v>30000000</v>
      </c>
      <c r="CF111" s="25"/>
      <c r="CG111" s="25"/>
      <c r="CH111" s="25"/>
      <c r="CI111" s="25"/>
      <c r="CJ111" s="25"/>
      <c r="CK111" s="25"/>
      <c r="CL111" s="25"/>
      <c r="CM111" s="25"/>
      <c r="CN111" s="25"/>
      <c r="CO111" s="27">
        <f t="shared" si="114"/>
        <v>0.70661263106879013</v>
      </c>
      <c r="CP111" s="25">
        <f t="shared" si="139"/>
        <v>107509069</v>
      </c>
      <c r="CQ111" s="25">
        <f t="shared" si="140"/>
        <v>0</v>
      </c>
      <c r="CR111" s="25">
        <f t="shared" si="140"/>
        <v>0</v>
      </c>
      <c r="CS111" s="25">
        <f t="shared" si="140"/>
        <v>97000000</v>
      </c>
      <c r="CT111" s="25">
        <f t="shared" si="140"/>
        <v>0</v>
      </c>
      <c r="CU111" s="25">
        <f t="shared" si="140"/>
        <v>0</v>
      </c>
      <c r="CV111" s="25">
        <f t="shared" si="140"/>
        <v>0</v>
      </c>
      <c r="CW111" s="25">
        <f t="shared" si="141"/>
        <v>0</v>
      </c>
      <c r="CX111" s="25">
        <f t="shared" si="141"/>
        <v>0</v>
      </c>
      <c r="CY111" s="25">
        <f t="shared" si="141"/>
        <v>0</v>
      </c>
      <c r="CZ111" s="25">
        <f t="shared" si="142"/>
        <v>10509069</v>
      </c>
      <c r="DA111" s="25">
        <f t="shared" si="142"/>
        <v>0</v>
      </c>
      <c r="DB111" s="25">
        <f t="shared" si="142"/>
        <v>0</v>
      </c>
      <c r="DC111" s="25">
        <f t="shared" si="143"/>
        <v>0</v>
      </c>
      <c r="DD111" s="25">
        <f t="shared" si="143"/>
        <v>0</v>
      </c>
      <c r="DE111" s="25">
        <f t="shared" si="143"/>
        <v>0</v>
      </c>
      <c r="DF111" s="25"/>
      <c r="DG111" s="25">
        <f t="shared" si="144"/>
        <v>0</v>
      </c>
      <c r="DH111" s="25">
        <f t="shared" si="144"/>
        <v>0</v>
      </c>
      <c r="DI111" s="25">
        <f t="shared" si="144"/>
        <v>0</v>
      </c>
      <c r="DJ111" s="47"/>
    </row>
    <row r="112" spans="1:114" ht="47.25" customHeight="1" x14ac:dyDescent="0.25">
      <c r="A112" s="193"/>
      <c r="B112" s="186" t="s">
        <v>314</v>
      </c>
      <c r="C112" s="70" t="s">
        <v>315</v>
      </c>
      <c r="D112" s="22" t="s">
        <v>316</v>
      </c>
      <c r="E112" s="93">
        <v>211</v>
      </c>
      <c r="F112" s="24" t="s">
        <v>317</v>
      </c>
      <c r="G112" s="25">
        <f t="shared" si="131"/>
        <v>1879879497</v>
      </c>
      <c r="H112" s="25"/>
      <c r="I112" s="25">
        <f>2300000000-500000000</f>
        <v>1800000000</v>
      </c>
      <c r="J112" s="25"/>
      <c r="K112" s="25"/>
      <c r="L112" s="25"/>
      <c r="M112" s="25"/>
      <c r="N112" s="25"/>
      <c r="O112" s="25"/>
      <c r="P112" s="25"/>
      <c r="Q112" s="25">
        <f>70000000</f>
        <v>70000000</v>
      </c>
      <c r="R112" s="25"/>
      <c r="S112" s="25"/>
      <c r="T112" s="25"/>
      <c r="U112" s="25"/>
      <c r="V112" s="25"/>
      <c r="W112" s="25"/>
      <c r="X112" s="25"/>
      <c r="Y112" s="25"/>
      <c r="Z112" s="25">
        <f>9879497</f>
        <v>9879497</v>
      </c>
      <c r="AB112" s="27">
        <f t="shared" si="104"/>
        <v>0.69458700788202699</v>
      </c>
      <c r="AC112" s="25">
        <f t="shared" si="132"/>
        <v>1305739875</v>
      </c>
      <c r="AD112" s="25"/>
      <c r="AE112" s="25"/>
      <c r="AF112" s="25">
        <f>+'[1]AGOSTO 2016'!$M$99</f>
        <v>1225873755</v>
      </c>
      <c r="AG112" s="25"/>
      <c r="AH112" s="25"/>
      <c r="AI112" s="25"/>
      <c r="AJ112" s="25"/>
      <c r="AK112" s="25"/>
      <c r="AL112" s="25"/>
      <c r="AM112" s="25"/>
      <c r="AN112" s="25">
        <f>+'[8]MAYO 2016'!$U$75</f>
        <v>70000000</v>
      </c>
      <c r="AO112" s="25"/>
      <c r="AP112" s="25"/>
      <c r="AQ112" s="25"/>
      <c r="AR112" s="25"/>
      <c r="AS112" s="25"/>
      <c r="AT112" s="25"/>
      <c r="AU112" s="25"/>
      <c r="AV112" s="25"/>
      <c r="AW112" s="25">
        <f>+'[8]MAYO 2016'!$AG$75</f>
        <v>9866120</v>
      </c>
      <c r="AX112" s="27">
        <f t="shared" si="106"/>
        <v>0.30541299211797301</v>
      </c>
      <c r="AY112" s="25">
        <f t="shared" si="133"/>
        <v>574139622</v>
      </c>
      <c r="AZ112" s="25">
        <f t="shared" si="134"/>
        <v>0</v>
      </c>
      <c r="BA112" s="25">
        <f t="shared" si="134"/>
        <v>574126245</v>
      </c>
      <c r="BB112" s="25">
        <f t="shared" si="134"/>
        <v>0</v>
      </c>
      <c r="BC112" s="25">
        <f t="shared" si="135"/>
        <v>0</v>
      </c>
      <c r="BD112" s="25">
        <f t="shared" si="135"/>
        <v>0</v>
      </c>
      <c r="BE112" s="25">
        <f t="shared" si="135"/>
        <v>0</v>
      </c>
      <c r="BF112" s="25">
        <f t="shared" si="135"/>
        <v>0</v>
      </c>
      <c r="BG112" s="25">
        <f t="shared" si="135"/>
        <v>0</v>
      </c>
      <c r="BH112" s="25">
        <f t="shared" si="135"/>
        <v>0</v>
      </c>
      <c r="BI112" s="25">
        <f t="shared" si="135"/>
        <v>0</v>
      </c>
      <c r="BJ112" s="25">
        <f t="shared" si="135"/>
        <v>0</v>
      </c>
      <c r="BK112" s="25">
        <f t="shared" si="135"/>
        <v>0</v>
      </c>
      <c r="BL112" s="25">
        <f t="shared" si="135"/>
        <v>0</v>
      </c>
      <c r="BM112" s="25">
        <f t="shared" si="135"/>
        <v>0</v>
      </c>
      <c r="BN112" s="25">
        <f t="shared" si="135"/>
        <v>0</v>
      </c>
      <c r="BO112" s="25"/>
      <c r="BP112" s="25"/>
      <c r="BQ112" s="25">
        <f t="shared" si="136"/>
        <v>0</v>
      </c>
      <c r="BR112" s="25">
        <f t="shared" si="137"/>
        <v>13377</v>
      </c>
      <c r="BS112" s="27">
        <f t="shared" si="112"/>
        <v>0.43811474741564244</v>
      </c>
      <c r="BT112" s="25">
        <f t="shared" si="138"/>
        <v>823602931</v>
      </c>
      <c r="BU112" s="25"/>
      <c r="BV112" s="25"/>
      <c r="BW112" s="25">
        <f>+'[1]AGOSTO 2016'!$H$100+'[1]AGOSTO 2016'!$H$103+'[1]AGOSTO 2016'!$H$107+'[1]AGOSTO 2016'!$H$109+'[1]AGOSTO 2016'!$H$111+'[1]AGOSTO 2016'!$H$113+'[1]AGOSTO 2016'!$H$114+'[1]AGOSTO 2016'!$H$120+'[1]AGOSTO 2016'!$H$124+'[1]AGOSTO 2016'!$H$126+'[1]AGOSTO 2016'!$H$128+'[1]AGOSTO 2016'!$H$130+'[1]AGOSTO 2016'!$H$132+'[1]AGOSTO 2016'!$H$135+'[1]AGOSTO 2016'!$H$139+'[1]AGOSTO 2016'!$H$141</f>
        <v>813736811</v>
      </c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>
        <f>+'[8]MAYO 2016'!$H$91</f>
        <v>9866120</v>
      </c>
      <c r="CO112" s="27">
        <f t="shared" si="114"/>
        <v>0.56188525258435762</v>
      </c>
      <c r="CP112" s="25">
        <f t="shared" si="139"/>
        <v>1056276566</v>
      </c>
      <c r="CQ112" s="25">
        <f t="shared" si="140"/>
        <v>0</v>
      </c>
      <c r="CR112" s="25">
        <f t="shared" si="140"/>
        <v>986263189</v>
      </c>
      <c r="CS112" s="25">
        <f t="shared" si="140"/>
        <v>0</v>
      </c>
      <c r="CT112" s="25">
        <f t="shared" si="140"/>
        <v>0</v>
      </c>
      <c r="CU112" s="25">
        <f t="shared" si="140"/>
        <v>0</v>
      </c>
      <c r="CV112" s="25">
        <f t="shared" si="140"/>
        <v>0</v>
      </c>
      <c r="CW112" s="25">
        <f t="shared" si="141"/>
        <v>0</v>
      </c>
      <c r="CX112" s="25">
        <f t="shared" si="141"/>
        <v>0</v>
      </c>
      <c r="CY112" s="25">
        <f t="shared" si="141"/>
        <v>0</v>
      </c>
      <c r="CZ112" s="25">
        <f t="shared" si="142"/>
        <v>70000000</v>
      </c>
      <c r="DA112" s="25">
        <f t="shared" si="142"/>
        <v>0</v>
      </c>
      <c r="DB112" s="25">
        <f t="shared" si="142"/>
        <v>0</v>
      </c>
      <c r="DC112" s="25">
        <f t="shared" si="143"/>
        <v>0</v>
      </c>
      <c r="DD112" s="25">
        <f t="shared" si="143"/>
        <v>0</v>
      </c>
      <c r="DE112" s="25">
        <f t="shared" si="143"/>
        <v>0</v>
      </c>
      <c r="DF112" s="25"/>
      <c r="DG112" s="25">
        <f t="shared" si="144"/>
        <v>0</v>
      </c>
      <c r="DH112" s="25">
        <f t="shared" si="144"/>
        <v>0</v>
      </c>
      <c r="DI112" s="25">
        <f t="shared" si="144"/>
        <v>13377</v>
      </c>
    </row>
    <row r="113" spans="1:113" ht="50.25" customHeight="1" x14ac:dyDescent="0.25">
      <c r="A113" s="193"/>
      <c r="B113" s="187"/>
      <c r="C113" s="70" t="s">
        <v>318</v>
      </c>
      <c r="D113" s="96" t="s">
        <v>319</v>
      </c>
      <c r="E113" s="93">
        <v>211</v>
      </c>
      <c r="F113" s="24" t="s">
        <v>313</v>
      </c>
      <c r="G113" s="25">
        <f t="shared" si="131"/>
        <v>360432388</v>
      </c>
      <c r="H113" s="25"/>
      <c r="I113" s="25">
        <f>170000000+50000000</f>
        <v>220000000</v>
      </c>
      <c r="J113" s="25"/>
      <c r="K113" s="25"/>
      <c r="L113" s="25"/>
      <c r="M113" s="25"/>
      <c r="N113" s="25"/>
      <c r="O113" s="25"/>
      <c r="P113" s="25"/>
      <c r="Q113" s="25">
        <v>10432388</v>
      </c>
      <c r="R113" s="25"/>
      <c r="S113" s="25">
        <v>130000000</v>
      </c>
      <c r="T113" s="25"/>
      <c r="U113" s="25"/>
      <c r="V113" s="25"/>
      <c r="W113" s="25"/>
      <c r="X113" s="25"/>
      <c r="Y113" s="25"/>
      <c r="Z113" s="25"/>
      <c r="AB113" s="27">
        <f t="shared" si="104"/>
        <v>0.4599457610341055</v>
      </c>
      <c r="AC113" s="25">
        <f t="shared" si="132"/>
        <v>165779349</v>
      </c>
      <c r="AD113" s="25"/>
      <c r="AE113" s="25"/>
      <c r="AF113" s="25">
        <f>+'[1]AGOSTO 2016'!$M$148</f>
        <v>165779349</v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7">
        <f t="shared" si="106"/>
        <v>0.54005423896589444</v>
      </c>
      <c r="AY113" s="25">
        <f t="shared" si="133"/>
        <v>194653039</v>
      </c>
      <c r="AZ113" s="25">
        <f t="shared" si="134"/>
        <v>0</v>
      </c>
      <c r="BA113" s="25">
        <f t="shared" si="134"/>
        <v>54220651</v>
      </c>
      <c r="BB113" s="25">
        <f t="shared" si="134"/>
        <v>0</v>
      </c>
      <c r="BC113" s="25">
        <f t="shared" si="135"/>
        <v>0</v>
      </c>
      <c r="BD113" s="25">
        <f t="shared" si="135"/>
        <v>0</v>
      </c>
      <c r="BE113" s="25">
        <f t="shared" si="135"/>
        <v>0</v>
      </c>
      <c r="BF113" s="25">
        <f t="shared" si="135"/>
        <v>0</v>
      </c>
      <c r="BG113" s="25">
        <f t="shared" si="135"/>
        <v>0</v>
      </c>
      <c r="BH113" s="25">
        <f t="shared" si="135"/>
        <v>0</v>
      </c>
      <c r="BI113" s="25">
        <f t="shared" si="135"/>
        <v>10432388</v>
      </c>
      <c r="BJ113" s="25">
        <f t="shared" si="135"/>
        <v>0</v>
      </c>
      <c r="BK113" s="25">
        <f t="shared" si="135"/>
        <v>130000000</v>
      </c>
      <c r="BL113" s="25">
        <f t="shared" si="135"/>
        <v>0</v>
      </c>
      <c r="BM113" s="25">
        <f t="shared" si="135"/>
        <v>0</v>
      </c>
      <c r="BN113" s="25">
        <f t="shared" si="135"/>
        <v>0</v>
      </c>
      <c r="BO113" s="25"/>
      <c r="BP113" s="25"/>
      <c r="BQ113" s="25">
        <f t="shared" si="136"/>
        <v>0</v>
      </c>
      <c r="BR113" s="25">
        <f t="shared" si="137"/>
        <v>0</v>
      </c>
      <c r="BS113" s="27">
        <f t="shared" si="112"/>
        <v>0.42367766350675456</v>
      </c>
      <c r="BT113" s="25">
        <f t="shared" si="138"/>
        <v>152707152</v>
      </c>
      <c r="BU113" s="25"/>
      <c r="BV113" s="25"/>
      <c r="BW113" s="25">
        <f>+'[1]AGOSTO 2016'!$H$146</f>
        <v>152707152</v>
      </c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7">
        <f t="shared" si="114"/>
        <v>0.57632233649324549</v>
      </c>
      <c r="CP113" s="25">
        <f t="shared" si="139"/>
        <v>207725236</v>
      </c>
      <c r="CQ113" s="25">
        <f t="shared" si="140"/>
        <v>0</v>
      </c>
      <c r="CR113" s="25">
        <f t="shared" si="140"/>
        <v>67292848</v>
      </c>
      <c r="CS113" s="25">
        <f t="shared" si="140"/>
        <v>0</v>
      </c>
      <c r="CT113" s="25">
        <f t="shared" si="140"/>
        <v>0</v>
      </c>
      <c r="CU113" s="25">
        <f t="shared" si="140"/>
        <v>0</v>
      </c>
      <c r="CV113" s="25">
        <f t="shared" si="140"/>
        <v>0</v>
      </c>
      <c r="CW113" s="25">
        <f t="shared" si="141"/>
        <v>0</v>
      </c>
      <c r="CX113" s="25">
        <f t="shared" si="141"/>
        <v>0</v>
      </c>
      <c r="CY113" s="25">
        <f t="shared" si="141"/>
        <v>0</v>
      </c>
      <c r="CZ113" s="25">
        <f t="shared" si="142"/>
        <v>10432388</v>
      </c>
      <c r="DA113" s="25">
        <f t="shared" si="142"/>
        <v>0</v>
      </c>
      <c r="DB113" s="25">
        <f t="shared" si="142"/>
        <v>130000000</v>
      </c>
      <c r="DC113" s="25">
        <f t="shared" si="143"/>
        <v>0</v>
      </c>
      <c r="DD113" s="25">
        <f t="shared" si="143"/>
        <v>0</v>
      </c>
      <c r="DE113" s="25">
        <f t="shared" si="143"/>
        <v>0</v>
      </c>
      <c r="DF113" s="25"/>
      <c r="DG113" s="25">
        <f t="shared" si="144"/>
        <v>0</v>
      </c>
      <c r="DH113" s="25">
        <f t="shared" si="144"/>
        <v>0</v>
      </c>
      <c r="DI113" s="25">
        <f t="shared" si="144"/>
        <v>0</v>
      </c>
    </row>
    <row r="114" spans="1:113" s="59" customFormat="1" ht="33" customHeight="1" x14ac:dyDescent="0.25">
      <c r="A114" s="193"/>
      <c r="B114" s="187"/>
      <c r="C114" s="57" t="s">
        <v>320</v>
      </c>
      <c r="D114" s="22" t="s">
        <v>321</v>
      </c>
      <c r="E114" s="91">
        <v>211</v>
      </c>
      <c r="F114" s="24" t="s">
        <v>322</v>
      </c>
      <c r="G114" s="25">
        <f t="shared" si="131"/>
        <v>459535209</v>
      </c>
      <c r="H114" s="30"/>
      <c r="I114" s="56">
        <v>453535209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>
        <v>6000000</v>
      </c>
      <c r="AB114" s="60">
        <f t="shared" si="104"/>
        <v>0.64750708361935327</v>
      </c>
      <c r="AC114" s="25">
        <f t="shared" si="132"/>
        <v>297552303</v>
      </c>
      <c r="AD114" s="56"/>
      <c r="AE114" s="56"/>
      <c r="AF114" s="56">
        <f>+'[1]AGOSTO 2016'!$M$175</f>
        <v>297552303</v>
      </c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60">
        <f t="shared" si="106"/>
        <v>0.35249291638064673</v>
      </c>
      <c r="AY114" s="25">
        <f t="shared" si="133"/>
        <v>161982906</v>
      </c>
      <c r="AZ114" s="56">
        <f t="shared" si="134"/>
        <v>0</v>
      </c>
      <c r="BA114" s="56">
        <f t="shared" si="134"/>
        <v>155982906</v>
      </c>
      <c r="BB114" s="56">
        <f t="shared" si="134"/>
        <v>0</v>
      </c>
      <c r="BC114" s="56">
        <f t="shared" si="135"/>
        <v>0</v>
      </c>
      <c r="BD114" s="56">
        <f t="shared" si="135"/>
        <v>0</v>
      </c>
      <c r="BE114" s="25">
        <f t="shared" si="135"/>
        <v>0</v>
      </c>
      <c r="BF114" s="56">
        <f t="shared" si="135"/>
        <v>0</v>
      </c>
      <c r="BG114" s="56">
        <f t="shared" si="135"/>
        <v>0</v>
      </c>
      <c r="BH114" s="56">
        <f t="shared" si="135"/>
        <v>0</v>
      </c>
      <c r="BI114" s="56">
        <f t="shared" si="135"/>
        <v>0</v>
      </c>
      <c r="BJ114" s="56">
        <f t="shared" si="135"/>
        <v>0</v>
      </c>
      <c r="BK114" s="56">
        <f t="shared" si="135"/>
        <v>0</v>
      </c>
      <c r="BL114" s="56">
        <f t="shared" si="135"/>
        <v>0</v>
      </c>
      <c r="BM114" s="56">
        <f t="shared" si="135"/>
        <v>0</v>
      </c>
      <c r="BN114" s="56">
        <f t="shared" si="135"/>
        <v>0</v>
      </c>
      <c r="BO114" s="56"/>
      <c r="BP114" s="56"/>
      <c r="BQ114" s="25">
        <f t="shared" si="136"/>
        <v>0</v>
      </c>
      <c r="BR114" s="56">
        <f t="shared" si="137"/>
        <v>6000000</v>
      </c>
      <c r="BS114" s="60">
        <f t="shared" si="112"/>
        <v>0.21797241655970695</v>
      </c>
      <c r="BT114" s="25">
        <f t="shared" si="138"/>
        <v>100166000</v>
      </c>
      <c r="BU114" s="56"/>
      <c r="BV114" s="56"/>
      <c r="BW114" s="56">
        <f>+'[3]ABRIL 2016'!$H$97</f>
        <v>100166000</v>
      </c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60">
        <f t="shared" si="114"/>
        <v>0.78202758344029299</v>
      </c>
      <c r="CP114" s="25">
        <f t="shared" si="139"/>
        <v>359369209</v>
      </c>
      <c r="CQ114" s="25">
        <f t="shared" si="140"/>
        <v>0</v>
      </c>
      <c r="CR114" s="56">
        <f t="shared" si="140"/>
        <v>353369209</v>
      </c>
      <c r="CS114" s="56">
        <f t="shared" si="140"/>
        <v>0</v>
      </c>
      <c r="CT114" s="56">
        <f t="shared" si="140"/>
        <v>0</v>
      </c>
      <c r="CU114" s="56">
        <f t="shared" si="140"/>
        <v>0</v>
      </c>
      <c r="CV114" s="25">
        <f t="shared" si="140"/>
        <v>0</v>
      </c>
      <c r="CW114" s="56">
        <f t="shared" si="141"/>
        <v>0</v>
      </c>
      <c r="CX114" s="56">
        <f t="shared" si="141"/>
        <v>0</v>
      </c>
      <c r="CY114" s="25">
        <f t="shared" si="141"/>
        <v>0</v>
      </c>
      <c r="CZ114" s="56">
        <f t="shared" si="142"/>
        <v>0</v>
      </c>
      <c r="DA114" s="56">
        <f t="shared" si="142"/>
        <v>0</v>
      </c>
      <c r="DB114" s="56">
        <f t="shared" si="142"/>
        <v>0</v>
      </c>
      <c r="DC114" s="56">
        <f t="shared" si="143"/>
        <v>0</v>
      </c>
      <c r="DD114" s="56">
        <f t="shared" si="143"/>
        <v>0</v>
      </c>
      <c r="DE114" s="56">
        <f t="shared" si="143"/>
        <v>0</v>
      </c>
      <c r="DF114" s="56"/>
      <c r="DG114" s="56">
        <f t="shared" si="144"/>
        <v>0</v>
      </c>
      <c r="DH114" s="56">
        <f t="shared" si="144"/>
        <v>0</v>
      </c>
      <c r="DI114" s="56">
        <f t="shared" si="144"/>
        <v>6000000</v>
      </c>
    </row>
    <row r="115" spans="1:113" ht="95.25" customHeight="1" x14ac:dyDescent="0.25">
      <c r="A115" s="193"/>
      <c r="B115" s="187"/>
      <c r="C115" s="70" t="s">
        <v>323</v>
      </c>
      <c r="D115" s="22" t="s">
        <v>324</v>
      </c>
      <c r="E115" s="93">
        <v>211</v>
      </c>
      <c r="F115" s="24" t="s">
        <v>325</v>
      </c>
      <c r="G115" s="25">
        <f t="shared" si="131"/>
        <v>411607498</v>
      </c>
      <c r="H115" s="36"/>
      <c r="I115" s="25">
        <v>300000000</v>
      </c>
      <c r="J115" s="25"/>
      <c r="K115" s="25"/>
      <c r="L115" s="25"/>
      <c r="M115" s="25"/>
      <c r="N115" s="25"/>
      <c r="O115" s="25"/>
      <c r="P115" s="25"/>
      <c r="Q115" s="25">
        <v>15000000</v>
      </c>
      <c r="R115" s="25"/>
      <c r="S115" s="25"/>
      <c r="T115" s="25"/>
      <c r="U115" s="25"/>
      <c r="V115" s="25"/>
      <c r="W115" s="25"/>
      <c r="X115" s="25"/>
      <c r="Y115" s="25"/>
      <c r="Z115" s="25">
        <f>105607498+8000000+9000000-4000000+8000000-30000000</f>
        <v>96607498</v>
      </c>
      <c r="AB115" s="27">
        <f t="shared" si="104"/>
        <v>0.93847946132409865</v>
      </c>
      <c r="AC115" s="25">
        <f t="shared" si="132"/>
        <v>386285183</v>
      </c>
      <c r="AD115" s="25"/>
      <c r="AE115" s="25"/>
      <c r="AF115" s="25">
        <f>+'[1]AGOSTO 2016'!$M$184</f>
        <v>299974318</v>
      </c>
      <c r="AG115" s="25"/>
      <c r="AH115" s="25"/>
      <c r="AI115" s="25"/>
      <c r="AJ115" s="25"/>
      <c r="AK115" s="25"/>
      <c r="AL115" s="25"/>
      <c r="AM115" s="25"/>
      <c r="AN115" s="25">
        <v>15000000</v>
      </c>
      <c r="AO115" s="25"/>
      <c r="AP115" s="25"/>
      <c r="AQ115" s="25"/>
      <c r="AR115" s="25"/>
      <c r="AS115" s="25"/>
      <c r="AT115" s="25"/>
      <c r="AU115" s="25"/>
      <c r="AV115" s="25"/>
      <c r="AW115" s="25">
        <f>+'[1]AGOSTO 2016'!$AG$184</f>
        <v>71310865</v>
      </c>
      <c r="AX115" s="27">
        <f t="shared" si="106"/>
        <v>6.1520538675901348E-2</v>
      </c>
      <c r="AY115" s="25">
        <f t="shared" si="133"/>
        <v>25322315</v>
      </c>
      <c r="AZ115" s="25">
        <f t="shared" si="134"/>
        <v>0</v>
      </c>
      <c r="BA115" s="25">
        <f t="shared" si="134"/>
        <v>25682</v>
      </c>
      <c r="BB115" s="25">
        <f t="shared" si="134"/>
        <v>0</v>
      </c>
      <c r="BC115" s="25">
        <f t="shared" si="135"/>
        <v>0</v>
      </c>
      <c r="BD115" s="25">
        <f t="shared" si="135"/>
        <v>0</v>
      </c>
      <c r="BE115" s="25">
        <f t="shared" si="135"/>
        <v>0</v>
      </c>
      <c r="BF115" s="25">
        <f t="shared" si="135"/>
        <v>0</v>
      </c>
      <c r="BG115" s="25">
        <f t="shared" si="135"/>
        <v>0</v>
      </c>
      <c r="BH115" s="25">
        <f t="shared" si="135"/>
        <v>0</v>
      </c>
      <c r="BI115" s="25">
        <f t="shared" si="135"/>
        <v>0</v>
      </c>
      <c r="BJ115" s="25">
        <f t="shared" si="135"/>
        <v>0</v>
      </c>
      <c r="BK115" s="25">
        <f t="shared" si="135"/>
        <v>0</v>
      </c>
      <c r="BL115" s="25">
        <f t="shared" si="135"/>
        <v>0</v>
      </c>
      <c r="BM115" s="25">
        <f t="shared" si="135"/>
        <v>0</v>
      </c>
      <c r="BN115" s="25">
        <f t="shared" si="135"/>
        <v>0</v>
      </c>
      <c r="BO115" s="25"/>
      <c r="BP115" s="25"/>
      <c r="BQ115" s="25">
        <f t="shared" si="136"/>
        <v>0</v>
      </c>
      <c r="BR115" s="25">
        <f t="shared" si="137"/>
        <v>25296633</v>
      </c>
      <c r="BS115" s="27">
        <f t="shared" si="112"/>
        <v>0.34527837731469119</v>
      </c>
      <c r="BT115" s="25">
        <f t="shared" si="138"/>
        <v>142119169</v>
      </c>
      <c r="BU115" s="25"/>
      <c r="BV115" s="25"/>
      <c r="BW115" s="25">
        <f>+'[1]AGOSTO 2016'!$H$187+'[1]AGOSTO 2016'!$H$189+'[1]AGOSTO 2016'!$H$195+'[1]AGOSTO 2016'!$H$197</f>
        <v>62075154</v>
      </c>
      <c r="BX115" s="25"/>
      <c r="BY115" s="25"/>
      <c r="BZ115" s="25"/>
      <c r="CA115" s="25"/>
      <c r="CB115" s="25"/>
      <c r="CC115" s="25"/>
      <c r="CD115" s="25"/>
      <c r="CE115" s="25">
        <f>+'[2]MARZO 2016 ULTIMO'!$H$88</f>
        <v>15000000</v>
      </c>
      <c r="CF115" s="25"/>
      <c r="CG115" s="25"/>
      <c r="CH115" s="25"/>
      <c r="CI115" s="25"/>
      <c r="CJ115" s="25"/>
      <c r="CK115" s="25"/>
      <c r="CL115" s="25"/>
      <c r="CM115" s="25"/>
      <c r="CN115" s="25">
        <f>+'[1]AGOSTO 2016'!$H$182-CE115-BW115</f>
        <v>65044015</v>
      </c>
      <c r="CO115" s="27">
        <f t="shared" si="114"/>
        <v>0.65472162268530876</v>
      </c>
      <c r="CP115" s="25">
        <f t="shared" si="139"/>
        <v>269488329</v>
      </c>
      <c r="CQ115" s="25">
        <f t="shared" si="140"/>
        <v>0</v>
      </c>
      <c r="CR115" s="25">
        <f t="shared" si="140"/>
        <v>237924846</v>
      </c>
      <c r="CS115" s="25">
        <f t="shared" si="140"/>
        <v>0</v>
      </c>
      <c r="CT115" s="25">
        <f t="shared" si="140"/>
        <v>0</v>
      </c>
      <c r="CU115" s="25">
        <f t="shared" si="140"/>
        <v>0</v>
      </c>
      <c r="CV115" s="25">
        <f t="shared" si="140"/>
        <v>0</v>
      </c>
      <c r="CW115" s="25">
        <f t="shared" si="141"/>
        <v>0</v>
      </c>
      <c r="CX115" s="25">
        <f t="shared" si="141"/>
        <v>0</v>
      </c>
      <c r="CY115" s="25">
        <f t="shared" si="141"/>
        <v>0</v>
      </c>
      <c r="CZ115" s="25">
        <f t="shared" si="142"/>
        <v>0</v>
      </c>
      <c r="DA115" s="25">
        <f t="shared" si="142"/>
        <v>0</v>
      </c>
      <c r="DB115" s="25">
        <f t="shared" si="142"/>
        <v>0</v>
      </c>
      <c r="DC115" s="25">
        <f t="shared" si="143"/>
        <v>0</v>
      </c>
      <c r="DD115" s="25">
        <f t="shared" si="143"/>
        <v>0</v>
      </c>
      <c r="DE115" s="25">
        <f t="shared" si="143"/>
        <v>0</v>
      </c>
      <c r="DF115" s="25"/>
      <c r="DG115" s="25">
        <f t="shared" si="144"/>
        <v>0</v>
      </c>
      <c r="DH115" s="25">
        <f t="shared" si="144"/>
        <v>0</v>
      </c>
      <c r="DI115" s="25">
        <f t="shared" si="144"/>
        <v>31563483</v>
      </c>
    </row>
    <row r="116" spans="1:113" ht="91.5" customHeight="1" x14ac:dyDescent="0.25">
      <c r="A116" s="193"/>
      <c r="B116" s="187"/>
      <c r="C116" s="70" t="s">
        <v>326</v>
      </c>
      <c r="D116" s="22" t="s">
        <v>327</v>
      </c>
      <c r="E116" s="93">
        <v>211</v>
      </c>
      <c r="F116" s="24" t="s">
        <v>325</v>
      </c>
      <c r="G116" s="25">
        <f t="shared" si="131"/>
        <v>121093350</v>
      </c>
      <c r="H116" s="36"/>
      <c r="I116" s="25">
        <v>50000000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f>47318981+5271083+155508+1089440+2317590+1325109+1257366+1440267+10918006</f>
        <v>71093350</v>
      </c>
      <c r="AB116" s="27">
        <f t="shared" si="104"/>
        <v>9.8786333023241982E-2</v>
      </c>
      <c r="AC116" s="25">
        <f t="shared" si="132"/>
        <v>11962368</v>
      </c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>
        <f>+'[6]JULIO 2016'!$G$179</f>
        <v>11962368</v>
      </c>
      <c r="AX116" s="27">
        <f t="shared" si="106"/>
        <v>0.90121366697675798</v>
      </c>
      <c r="AY116" s="25">
        <f t="shared" si="133"/>
        <v>109130982</v>
      </c>
      <c r="AZ116" s="25">
        <f t="shared" si="134"/>
        <v>0</v>
      </c>
      <c r="BA116" s="25">
        <f t="shared" si="134"/>
        <v>50000000</v>
      </c>
      <c r="BB116" s="25">
        <f t="shared" si="134"/>
        <v>0</v>
      </c>
      <c r="BC116" s="25">
        <f t="shared" si="135"/>
        <v>0</v>
      </c>
      <c r="BD116" s="25">
        <f t="shared" si="135"/>
        <v>0</v>
      </c>
      <c r="BE116" s="25">
        <f t="shared" si="135"/>
        <v>0</v>
      </c>
      <c r="BF116" s="25">
        <f t="shared" si="135"/>
        <v>0</v>
      </c>
      <c r="BG116" s="25">
        <f t="shared" si="135"/>
        <v>0</v>
      </c>
      <c r="BH116" s="25">
        <f t="shared" si="135"/>
        <v>0</v>
      </c>
      <c r="BI116" s="25">
        <f t="shared" si="135"/>
        <v>0</v>
      </c>
      <c r="BJ116" s="25">
        <f t="shared" si="135"/>
        <v>0</v>
      </c>
      <c r="BK116" s="25">
        <f t="shared" si="135"/>
        <v>0</v>
      </c>
      <c r="BL116" s="25">
        <f t="shared" si="135"/>
        <v>0</v>
      </c>
      <c r="BM116" s="25">
        <f t="shared" si="135"/>
        <v>0</v>
      </c>
      <c r="BN116" s="25">
        <f t="shared" si="135"/>
        <v>0</v>
      </c>
      <c r="BO116" s="25"/>
      <c r="BP116" s="25"/>
      <c r="BQ116" s="25">
        <f t="shared" si="136"/>
        <v>0</v>
      </c>
      <c r="BR116" s="25">
        <f t="shared" si="137"/>
        <v>59130982</v>
      </c>
      <c r="BS116" s="27">
        <f t="shared" si="112"/>
        <v>9.8561977185369798E-2</v>
      </c>
      <c r="BT116" s="25">
        <f t="shared" si="138"/>
        <v>11935200</v>
      </c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>
        <f>+'[6]JULIO 2016'!$H$179</f>
        <v>11935200</v>
      </c>
      <c r="CO116" s="27">
        <f t="shared" si="114"/>
        <v>0.90143802281463015</v>
      </c>
      <c r="CP116" s="25">
        <f t="shared" si="139"/>
        <v>109158150</v>
      </c>
      <c r="CQ116" s="25">
        <f t="shared" si="140"/>
        <v>0</v>
      </c>
      <c r="CR116" s="25">
        <f t="shared" si="140"/>
        <v>50000000</v>
      </c>
      <c r="CS116" s="25">
        <f t="shared" si="140"/>
        <v>0</v>
      </c>
      <c r="CT116" s="25">
        <f t="shared" si="140"/>
        <v>0</v>
      </c>
      <c r="CU116" s="25">
        <f t="shared" si="140"/>
        <v>0</v>
      </c>
      <c r="CV116" s="25">
        <f t="shared" si="140"/>
        <v>0</v>
      </c>
      <c r="CW116" s="25">
        <f t="shared" si="141"/>
        <v>0</v>
      </c>
      <c r="CX116" s="25">
        <f t="shared" si="141"/>
        <v>0</v>
      </c>
      <c r="CY116" s="25">
        <f t="shared" si="141"/>
        <v>0</v>
      </c>
      <c r="CZ116" s="25">
        <f t="shared" si="142"/>
        <v>0</v>
      </c>
      <c r="DA116" s="25">
        <f t="shared" si="142"/>
        <v>0</v>
      </c>
      <c r="DB116" s="25">
        <f t="shared" si="142"/>
        <v>0</v>
      </c>
      <c r="DC116" s="25">
        <f t="shared" si="143"/>
        <v>0</v>
      </c>
      <c r="DD116" s="25">
        <f t="shared" si="143"/>
        <v>0</v>
      </c>
      <c r="DE116" s="25">
        <f t="shared" si="143"/>
        <v>0</v>
      </c>
      <c r="DF116" s="25"/>
      <c r="DG116" s="25">
        <f t="shared" si="144"/>
        <v>0</v>
      </c>
      <c r="DH116" s="25">
        <f t="shared" si="144"/>
        <v>0</v>
      </c>
      <c r="DI116" s="25">
        <f t="shared" si="144"/>
        <v>59158150</v>
      </c>
    </row>
    <row r="117" spans="1:113" ht="44.25" customHeight="1" x14ac:dyDescent="0.25">
      <c r="A117" s="193"/>
      <c r="B117" s="187"/>
      <c r="C117" s="70" t="s">
        <v>328</v>
      </c>
      <c r="D117" s="22" t="s">
        <v>329</v>
      </c>
      <c r="E117" s="93">
        <v>211</v>
      </c>
      <c r="F117" s="24" t="s">
        <v>330</v>
      </c>
      <c r="G117" s="25">
        <f t="shared" si="131"/>
        <v>6500000</v>
      </c>
      <c r="H117" s="36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f>3000000+2500000+1000000</f>
        <v>6500000</v>
      </c>
      <c r="AB117" s="27">
        <f t="shared" si="104"/>
        <v>0.84613384615384613</v>
      </c>
      <c r="AC117" s="25">
        <f t="shared" si="132"/>
        <v>5499870</v>
      </c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>
        <f>+'[1]AGOSTO 2016'!$AG$231</f>
        <v>5499870</v>
      </c>
      <c r="AX117" s="27">
        <f t="shared" si="106"/>
        <v>0.15386615384615387</v>
      </c>
      <c r="AY117" s="25">
        <f t="shared" si="133"/>
        <v>1000130</v>
      </c>
      <c r="AZ117" s="25">
        <f t="shared" si="134"/>
        <v>0</v>
      </c>
      <c r="BA117" s="25">
        <f t="shared" si="134"/>
        <v>0</v>
      </c>
      <c r="BB117" s="25">
        <f t="shared" si="134"/>
        <v>0</v>
      </c>
      <c r="BC117" s="25">
        <f t="shared" si="135"/>
        <v>0</v>
      </c>
      <c r="BD117" s="25">
        <f t="shared" si="135"/>
        <v>0</v>
      </c>
      <c r="BE117" s="25">
        <f t="shared" si="135"/>
        <v>0</v>
      </c>
      <c r="BF117" s="25">
        <f t="shared" si="135"/>
        <v>0</v>
      </c>
      <c r="BG117" s="25">
        <f t="shared" si="135"/>
        <v>0</v>
      </c>
      <c r="BH117" s="25">
        <f t="shared" si="135"/>
        <v>0</v>
      </c>
      <c r="BI117" s="25">
        <f t="shared" si="135"/>
        <v>0</v>
      </c>
      <c r="BJ117" s="25">
        <f t="shared" si="135"/>
        <v>0</v>
      </c>
      <c r="BK117" s="25">
        <f t="shared" si="135"/>
        <v>0</v>
      </c>
      <c r="BL117" s="25">
        <f t="shared" si="135"/>
        <v>0</v>
      </c>
      <c r="BM117" s="25">
        <f t="shared" si="135"/>
        <v>0</v>
      </c>
      <c r="BN117" s="25">
        <f t="shared" si="135"/>
        <v>0</v>
      </c>
      <c r="BO117" s="25"/>
      <c r="BP117" s="25"/>
      <c r="BQ117" s="25">
        <f t="shared" si="136"/>
        <v>0</v>
      </c>
      <c r="BR117" s="25">
        <f t="shared" si="137"/>
        <v>1000130</v>
      </c>
      <c r="BS117" s="27">
        <f t="shared" si="112"/>
        <v>0.84321353846153846</v>
      </c>
      <c r="BT117" s="25">
        <f t="shared" si="138"/>
        <v>5480888</v>
      </c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>
        <f>+'[1]AGOSTO 2016'!$H$229</f>
        <v>5480888</v>
      </c>
      <c r="CO117" s="27">
        <f t="shared" si="114"/>
        <v>0.15678646153846154</v>
      </c>
      <c r="CP117" s="25">
        <f t="shared" si="139"/>
        <v>1019112</v>
      </c>
      <c r="CQ117" s="25">
        <f t="shared" si="140"/>
        <v>0</v>
      </c>
      <c r="CR117" s="25">
        <f t="shared" si="140"/>
        <v>0</v>
      </c>
      <c r="CS117" s="25">
        <f t="shared" si="140"/>
        <v>0</v>
      </c>
      <c r="CT117" s="25">
        <f t="shared" si="140"/>
        <v>0</v>
      </c>
      <c r="CU117" s="25">
        <f t="shared" si="140"/>
        <v>0</v>
      </c>
      <c r="CV117" s="25">
        <f t="shared" si="140"/>
        <v>0</v>
      </c>
      <c r="CW117" s="25">
        <f t="shared" si="141"/>
        <v>0</v>
      </c>
      <c r="CX117" s="25">
        <f t="shared" si="141"/>
        <v>0</v>
      </c>
      <c r="CY117" s="25">
        <f t="shared" si="141"/>
        <v>0</v>
      </c>
      <c r="CZ117" s="25">
        <f t="shared" si="142"/>
        <v>0</v>
      </c>
      <c r="DA117" s="25">
        <f t="shared" si="142"/>
        <v>0</v>
      </c>
      <c r="DB117" s="25">
        <f t="shared" si="142"/>
        <v>0</v>
      </c>
      <c r="DC117" s="25">
        <f t="shared" si="143"/>
        <v>0</v>
      </c>
      <c r="DD117" s="25">
        <f t="shared" si="143"/>
        <v>0</v>
      </c>
      <c r="DE117" s="25">
        <f t="shared" si="143"/>
        <v>0</v>
      </c>
      <c r="DF117" s="25"/>
      <c r="DG117" s="25">
        <f t="shared" si="144"/>
        <v>0</v>
      </c>
      <c r="DH117" s="25">
        <f t="shared" si="144"/>
        <v>0</v>
      </c>
      <c r="DI117" s="25">
        <f t="shared" si="144"/>
        <v>1019112</v>
      </c>
    </row>
    <row r="118" spans="1:113" ht="27.75" customHeight="1" x14ac:dyDescent="0.25">
      <c r="A118" s="193"/>
      <c r="B118" s="187"/>
      <c r="C118" s="70" t="s">
        <v>331</v>
      </c>
      <c r="D118" s="22" t="s">
        <v>332</v>
      </c>
      <c r="E118" s="93">
        <v>211</v>
      </c>
      <c r="F118" s="24" t="s">
        <v>76</v>
      </c>
      <c r="G118" s="25">
        <f t="shared" si="131"/>
        <v>5846336</v>
      </c>
      <c r="H118" s="36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f>5000000+846336</f>
        <v>5846336</v>
      </c>
      <c r="AB118" s="27">
        <f t="shared" si="104"/>
        <v>0.49506990361142433</v>
      </c>
      <c r="AC118" s="25">
        <f t="shared" si="132"/>
        <v>2894345</v>
      </c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>
        <f>+'[7]JUNIO 2016'!$AG$179</f>
        <v>2894345</v>
      </c>
      <c r="AX118" s="27">
        <f t="shared" si="106"/>
        <v>0.50493009638857567</v>
      </c>
      <c r="AY118" s="25">
        <f t="shared" si="133"/>
        <v>2951991</v>
      </c>
      <c r="AZ118" s="25">
        <f t="shared" si="134"/>
        <v>0</v>
      </c>
      <c r="BA118" s="25">
        <f t="shared" si="134"/>
        <v>0</v>
      </c>
      <c r="BB118" s="25">
        <f t="shared" si="134"/>
        <v>0</v>
      </c>
      <c r="BC118" s="25">
        <f t="shared" si="135"/>
        <v>0</v>
      </c>
      <c r="BD118" s="25">
        <f t="shared" si="135"/>
        <v>0</v>
      </c>
      <c r="BE118" s="25">
        <f t="shared" si="135"/>
        <v>0</v>
      </c>
      <c r="BF118" s="25">
        <f t="shared" si="135"/>
        <v>0</v>
      </c>
      <c r="BG118" s="25">
        <f t="shared" si="135"/>
        <v>0</v>
      </c>
      <c r="BH118" s="25">
        <f t="shared" si="135"/>
        <v>0</v>
      </c>
      <c r="BI118" s="25">
        <f t="shared" si="135"/>
        <v>0</v>
      </c>
      <c r="BJ118" s="25">
        <f t="shared" si="135"/>
        <v>0</v>
      </c>
      <c r="BK118" s="25">
        <f t="shared" si="135"/>
        <v>0</v>
      </c>
      <c r="BL118" s="25">
        <f t="shared" si="135"/>
        <v>0</v>
      </c>
      <c r="BM118" s="25">
        <f t="shared" si="135"/>
        <v>0</v>
      </c>
      <c r="BN118" s="25">
        <f t="shared" si="135"/>
        <v>0</v>
      </c>
      <c r="BO118" s="25"/>
      <c r="BP118" s="25"/>
      <c r="BQ118" s="25">
        <f t="shared" si="136"/>
        <v>0</v>
      </c>
      <c r="BR118" s="25">
        <f t="shared" si="137"/>
        <v>2951991</v>
      </c>
      <c r="BS118" s="27">
        <f t="shared" si="112"/>
        <v>0.49506990361142433</v>
      </c>
      <c r="BT118" s="25">
        <f t="shared" si="138"/>
        <v>2894345</v>
      </c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>
        <f>+'[7]JUNIO 2016'!$H$177</f>
        <v>2894345</v>
      </c>
      <c r="CO118" s="27">
        <f t="shared" si="114"/>
        <v>0.50493009638857567</v>
      </c>
      <c r="CP118" s="25">
        <f t="shared" si="139"/>
        <v>2951991</v>
      </c>
      <c r="CQ118" s="25">
        <f t="shared" si="140"/>
        <v>0</v>
      </c>
      <c r="CR118" s="25">
        <f t="shared" si="140"/>
        <v>0</v>
      </c>
      <c r="CS118" s="25">
        <f t="shared" si="140"/>
        <v>0</v>
      </c>
      <c r="CT118" s="25">
        <f t="shared" si="140"/>
        <v>0</v>
      </c>
      <c r="CU118" s="25">
        <f t="shared" si="140"/>
        <v>0</v>
      </c>
      <c r="CV118" s="25">
        <f t="shared" si="140"/>
        <v>0</v>
      </c>
      <c r="CW118" s="25">
        <f t="shared" si="141"/>
        <v>0</v>
      </c>
      <c r="CX118" s="25">
        <f t="shared" si="141"/>
        <v>0</v>
      </c>
      <c r="CY118" s="25">
        <f t="shared" si="141"/>
        <v>0</v>
      </c>
      <c r="CZ118" s="25">
        <f t="shared" si="142"/>
        <v>0</v>
      </c>
      <c r="DA118" s="25">
        <f t="shared" si="142"/>
        <v>0</v>
      </c>
      <c r="DB118" s="25">
        <f t="shared" si="142"/>
        <v>0</v>
      </c>
      <c r="DC118" s="25">
        <f t="shared" si="143"/>
        <v>0</v>
      </c>
      <c r="DD118" s="25">
        <f t="shared" si="143"/>
        <v>0</v>
      </c>
      <c r="DE118" s="25">
        <f t="shared" si="143"/>
        <v>0</v>
      </c>
      <c r="DF118" s="25"/>
      <c r="DG118" s="25">
        <f t="shared" si="144"/>
        <v>0</v>
      </c>
      <c r="DH118" s="25">
        <f t="shared" si="144"/>
        <v>0</v>
      </c>
      <c r="DI118" s="25">
        <f t="shared" si="144"/>
        <v>2951991</v>
      </c>
    </row>
    <row r="119" spans="1:113" s="59" customFormat="1" ht="29.25" customHeight="1" x14ac:dyDescent="0.25">
      <c r="A119" s="193"/>
      <c r="B119" s="187"/>
      <c r="C119" s="57" t="s">
        <v>333</v>
      </c>
      <c r="D119" s="22" t="s">
        <v>334</v>
      </c>
      <c r="E119" s="91">
        <v>211</v>
      </c>
      <c r="F119" s="24" t="s">
        <v>313</v>
      </c>
      <c r="G119" s="25">
        <f t="shared" si="131"/>
        <v>325200000</v>
      </c>
      <c r="H119" s="30"/>
      <c r="I119" s="56">
        <f>296464791+28735209</f>
        <v>325200000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>
        <f>28735209-28735209</f>
        <v>0</v>
      </c>
      <c r="V119" s="25"/>
      <c r="W119" s="25"/>
      <c r="X119" s="25"/>
      <c r="Y119" s="25"/>
      <c r="Z119" s="25"/>
      <c r="AB119" s="60">
        <f t="shared" si="104"/>
        <v>0.7836409255842558</v>
      </c>
      <c r="AC119" s="25">
        <f t="shared" si="132"/>
        <v>254840029</v>
      </c>
      <c r="AD119" s="56"/>
      <c r="AE119" s="56"/>
      <c r="AF119" s="56">
        <f>+'[1]AGOSTO 2016'!$M$249</f>
        <v>254840029</v>
      </c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60">
        <f t="shared" si="106"/>
        <v>0.2163590744157442</v>
      </c>
      <c r="AY119" s="25">
        <f t="shared" si="133"/>
        <v>70359971</v>
      </c>
      <c r="AZ119" s="56">
        <f t="shared" si="134"/>
        <v>0</v>
      </c>
      <c r="BA119" s="56">
        <f t="shared" si="134"/>
        <v>70359971</v>
      </c>
      <c r="BB119" s="56">
        <f t="shared" si="134"/>
        <v>0</v>
      </c>
      <c r="BC119" s="56">
        <f t="shared" si="135"/>
        <v>0</v>
      </c>
      <c r="BD119" s="56">
        <f t="shared" si="135"/>
        <v>0</v>
      </c>
      <c r="BE119" s="25">
        <f t="shared" si="135"/>
        <v>0</v>
      </c>
      <c r="BF119" s="56">
        <f t="shared" si="135"/>
        <v>0</v>
      </c>
      <c r="BG119" s="56">
        <f t="shared" si="135"/>
        <v>0</v>
      </c>
      <c r="BH119" s="56">
        <f t="shared" si="135"/>
        <v>0</v>
      </c>
      <c r="BI119" s="56">
        <f t="shared" si="135"/>
        <v>0</v>
      </c>
      <c r="BJ119" s="56">
        <f t="shared" si="135"/>
        <v>0</v>
      </c>
      <c r="BK119" s="56">
        <f t="shared" si="135"/>
        <v>0</v>
      </c>
      <c r="BL119" s="56">
        <f t="shared" si="135"/>
        <v>0</v>
      </c>
      <c r="BM119" s="56">
        <f t="shared" si="135"/>
        <v>0</v>
      </c>
      <c r="BN119" s="56">
        <f t="shared" si="135"/>
        <v>0</v>
      </c>
      <c r="BO119" s="56"/>
      <c r="BP119" s="56"/>
      <c r="BQ119" s="25">
        <f t="shared" si="136"/>
        <v>0</v>
      </c>
      <c r="BR119" s="56">
        <f t="shared" si="137"/>
        <v>0</v>
      </c>
      <c r="BS119" s="60">
        <f t="shared" si="112"/>
        <v>0.66828299200492003</v>
      </c>
      <c r="BT119" s="25">
        <f t="shared" si="138"/>
        <v>217325629</v>
      </c>
      <c r="BU119" s="56"/>
      <c r="BV119" s="56"/>
      <c r="BW119" s="56">
        <f>+'[1]AGOSTO 2016'!$H$247</f>
        <v>217325629</v>
      </c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60">
        <f t="shared" si="114"/>
        <v>0.33171700799507997</v>
      </c>
      <c r="CP119" s="25">
        <f t="shared" si="139"/>
        <v>107874371</v>
      </c>
      <c r="CQ119" s="25">
        <f t="shared" si="140"/>
        <v>0</v>
      </c>
      <c r="CR119" s="56">
        <f t="shared" si="140"/>
        <v>107874371</v>
      </c>
      <c r="CS119" s="56">
        <f t="shared" si="140"/>
        <v>0</v>
      </c>
      <c r="CT119" s="56">
        <f t="shared" si="140"/>
        <v>0</v>
      </c>
      <c r="CU119" s="56">
        <f t="shared" si="140"/>
        <v>0</v>
      </c>
      <c r="CV119" s="25">
        <f t="shared" si="140"/>
        <v>0</v>
      </c>
      <c r="CW119" s="56">
        <f t="shared" si="141"/>
        <v>0</v>
      </c>
      <c r="CX119" s="56">
        <f t="shared" si="141"/>
        <v>0</v>
      </c>
      <c r="CY119" s="25">
        <f t="shared" si="141"/>
        <v>0</v>
      </c>
      <c r="CZ119" s="56">
        <f t="shared" si="142"/>
        <v>0</v>
      </c>
      <c r="DA119" s="56">
        <f t="shared" si="142"/>
        <v>0</v>
      </c>
      <c r="DB119" s="56">
        <f t="shared" si="142"/>
        <v>0</v>
      </c>
      <c r="DC119" s="56">
        <f t="shared" si="143"/>
        <v>0</v>
      </c>
      <c r="DD119" s="56">
        <f t="shared" si="143"/>
        <v>0</v>
      </c>
      <c r="DE119" s="56">
        <f t="shared" si="143"/>
        <v>0</v>
      </c>
      <c r="DF119" s="56"/>
      <c r="DG119" s="56">
        <f t="shared" si="144"/>
        <v>0</v>
      </c>
      <c r="DH119" s="56">
        <f t="shared" si="144"/>
        <v>0</v>
      </c>
      <c r="DI119" s="56">
        <f t="shared" si="144"/>
        <v>0</v>
      </c>
    </row>
    <row r="120" spans="1:113" s="59" customFormat="1" ht="28.5" customHeight="1" x14ac:dyDescent="0.25">
      <c r="A120" s="193"/>
      <c r="B120" s="188"/>
      <c r="C120" s="57" t="s">
        <v>335</v>
      </c>
      <c r="D120" s="22" t="s">
        <v>336</v>
      </c>
      <c r="E120" s="91">
        <v>211</v>
      </c>
      <c r="F120" s="24" t="s">
        <v>313</v>
      </c>
      <c r="G120" s="25">
        <f t="shared" si="131"/>
        <v>250000000</v>
      </c>
      <c r="H120" s="30"/>
      <c r="I120" s="56"/>
      <c r="J120" s="25"/>
      <c r="K120" s="25"/>
      <c r="L120" s="25"/>
      <c r="M120" s="25"/>
      <c r="N120" s="25"/>
      <c r="O120" s="25"/>
      <c r="P120" s="25"/>
      <c r="Q120" s="25"/>
      <c r="R120" s="25"/>
      <c r="S120" s="25">
        <v>250000000</v>
      </c>
      <c r="T120" s="25"/>
      <c r="U120" s="25"/>
      <c r="V120" s="25"/>
      <c r="W120" s="25"/>
      <c r="X120" s="25"/>
      <c r="Y120" s="25"/>
      <c r="Z120" s="25"/>
      <c r="AB120" s="60">
        <f t="shared" si="104"/>
        <v>1</v>
      </c>
      <c r="AC120" s="25">
        <f t="shared" si="132"/>
        <v>250000000</v>
      </c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>
        <f>+'[7]JUNIO 2016'!$W$197</f>
        <v>250000000</v>
      </c>
      <c r="AQ120" s="56"/>
      <c r="AR120" s="56"/>
      <c r="AS120" s="56"/>
      <c r="AT120" s="56"/>
      <c r="AU120" s="56"/>
      <c r="AV120" s="56"/>
      <c r="AW120" s="56"/>
      <c r="AX120" s="60">
        <f t="shared" si="106"/>
        <v>0</v>
      </c>
      <c r="AY120" s="25">
        <f t="shared" si="133"/>
        <v>0</v>
      </c>
      <c r="AZ120" s="56">
        <f t="shared" si="134"/>
        <v>0</v>
      </c>
      <c r="BA120" s="56">
        <f t="shared" si="134"/>
        <v>0</v>
      </c>
      <c r="BB120" s="56">
        <f t="shared" si="134"/>
        <v>0</v>
      </c>
      <c r="BC120" s="56">
        <f t="shared" si="134"/>
        <v>0</v>
      </c>
      <c r="BD120" s="56">
        <f t="shared" si="134"/>
        <v>0</v>
      </c>
      <c r="BE120" s="56">
        <f t="shared" si="134"/>
        <v>0</v>
      </c>
      <c r="BF120" s="56">
        <f t="shared" si="134"/>
        <v>0</v>
      </c>
      <c r="BG120" s="56">
        <f t="shared" si="134"/>
        <v>0</v>
      </c>
      <c r="BH120" s="56">
        <f t="shared" si="134"/>
        <v>0</v>
      </c>
      <c r="BI120" s="56">
        <f t="shared" si="134"/>
        <v>0</v>
      </c>
      <c r="BJ120" s="56">
        <f t="shared" si="134"/>
        <v>0</v>
      </c>
      <c r="BK120" s="56">
        <f t="shared" si="134"/>
        <v>0</v>
      </c>
      <c r="BL120" s="56">
        <f t="shared" si="134"/>
        <v>0</v>
      </c>
      <c r="BM120" s="56">
        <f t="shared" si="134"/>
        <v>0</v>
      </c>
      <c r="BN120" s="56">
        <f t="shared" si="134"/>
        <v>0</v>
      </c>
      <c r="BO120" s="56"/>
      <c r="BP120" s="56">
        <f>X120-AU120</f>
        <v>0</v>
      </c>
      <c r="BQ120" s="25">
        <f t="shared" si="136"/>
        <v>0</v>
      </c>
      <c r="BR120" s="56">
        <f>Z120-AW120</f>
        <v>0</v>
      </c>
      <c r="BS120" s="60">
        <f t="shared" si="112"/>
        <v>0.99872130800000003</v>
      </c>
      <c r="BT120" s="25">
        <f t="shared" si="138"/>
        <v>249680327</v>
      </c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>
        <f>+'[6]JULIO 2016'!$H$221</f>
        <v>249680327</v>
      </c>
      <c r="CH120" s="56"/>
      <c r="CI120" s="56"/>
      <c r="CJ120" s="56"/>
      <c r="CK120" s="56"/>
      <c r="CL120" s="56"/>
      <c r="CM120" s="56"/>
      <c r="CN120" s="56"/>
      <c r="CO120" s="60">
        <f t="shared" si="114"/>
        <v>1.2786919999999702E-3</v>
      </c>
      <c r="CP120" s="25">
        <f t="shared" si="139"/>
        <v>319673</v>
      </c>
      <c r="CQ120" s="25">
        <f t="shared" si="140"/>
        <v>0</v>
      </c>
      <c r="CR120" s="25">
        <f t="shared" si="140"/>
        <v>0</v>
      </c>
      <c r="CS120" s="25">
        <f t="shared" si="140"/>
        <v>0</v>
      </c>
      <c r="CT120" s="25">
        <f t="shared" si="140"/>
        <v>0</v>
      </c>
      <c r="CU120" s="25">
        <f t="shared" si="140"/>
        <v>0</v>
      </c>
      <c r="CV120" s="25">
        <f t="shared" si="140"/>
        <v>0</v>
      </c>
      <c r="CW120" s="25">
        <f>N120-CB120</f>
        <v>0</v>
      </c>
      <c r="CX120" s="25">
        <f>O120-CC120</f>
        <v>0</v>
      </c>
      <c r="CY120" s="25">
        <f>P120-CD120</f>
        <v>0</v>
      </c>
      <c r="CZ120" s="25">
        <f t="shared" si="142"/>
        <v>0</v>
      </c>
      <c r="DA120" s="25">
        <f t="shared" si="142"/>
        <v>0</v>
      </c>
      <c r="DB120" s="25">
        <f t="shared" si="142"/>
        <v>319673</v>
      </c>
      <c r="DC120" s="25">
        <f>T120-CH120</f>
        <v>0</v>
      </c>
      <c r="DD120" s="25">
        <f>U120-CI120</f>
        <v>0</v>
      </c>
      <c r="DE120" s="25">
        <f>V120-CJ120</f>
        <v>0</v>
      </c>
      <c r="DF120" s="25"/>
      <c r="DG120" s="25">
        <f>X120-CL120</f>
        <v>0</v>
      </c>
      <c r="DH120" s="25">
        <f>Y120-CM120</f>
        <v>0</v>
      </c>
      <c r="DI120" s="25">
        <f>Z120-CN120</f>
        <v>0</v>
      </c>
    </row>
    <row r="121" spans="1:113" s="59" customFormat="1" ht="50.25" customHeight="1" x14ac:dyDescent="0.25">
      <c r="A121" s="152"/>
      <c r="B121" s="22" t="s">
        <v>337</v>
      </c>
      <c r="C121" s="57" t="s">
        <v>338</v>
      </c>
      <c r="D121" s="22" t="s">
        <v>339</v>
      </c>
      <c r="E121" s="91" t="s">
        <v>340</v>
      </c>
      <c r="F121" s="24" t="s">
        <v>313</v>
      </c>
      <c r="G121" s="25">
        <f t="shared" si="131"/>
        <v>3185000000</v>
      </c>
      <c r="H121" s="30"/>
      <c r="I121" s="56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>
        <f>485000000</f>
        <v>485000000</v>
      </c>
      <c r="U121" s="25"/>
      <c r="V121" s="25"/>
      <c r="W121" s="25"/>
      <c r="X121" s="25">
        <v>2700000000</v>
      </c>
      <c r="Y121" s="25"/>
      <c r="Z121" s="25"/>
      <c r="AB121" s="60">
        <f t="shared" si="104"/>
        <v>1</v>
      </c>
      <c r="AC121" s="25">
        <f t="shared" si="132"/>
        <v>3185000000</v>
      </c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>
        <f>+'[3]ABRIL 2016'!$X$1694</f>
        <v>485000000</v>
      </c>
      <c r="AR121" s="56"/>
      <c r="AS121" s="56"/>
      <c r="AT121" s="56"/>
      <c r="AU121" s="56">
        <f>+'[9]MARZO 2016 ULTIMO'!$AA$1371</f>
        <v>2700000000</v>
      </c>
      <c r="AV121" s="56"/>
      <c r="AW121" s="56"/>
      <c r="AX121" s="60">
        <f t="shared" si="106"/>
        <v>0</v>
      </c>
      <c r="AY121" s="25">
        <f t="shared" si="133"/>
        <v>0</v>
      </c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>
        <f>T121-AQ121</f>
        <v>0</v>
      </c>
      <c r="BM121" s="56"/>
      <c r="BN121" s="56"/>
      <c r="BO121" s="56"/>
      <c r="BP121" s="56">
        <f>X121-AU121</f>
        <v>0</v>
      </c>
      <c r="BQ121" s="25"/>
      <c r="BR121" s="56"/>
      <c r="BS121" s="60">
        <f t="shared" si="112"/>
        <v>0.28313953406593406</v>
      </c>
      <c r="BT121" s="25">
        <f t="shared" si="138"/>
        <v>901799416</v>
      </c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>
        <f>+'[1]AGOSTO 2016'!$H$3122</f>
        <v>472748357</v>
      </c>
      <c r="CI121" s="56"/>
      <c r="CJ121" s="56"/>
      <c r="CK121" s="56"/>
      <c r="CL121" s="56">
        <f>+'[1]AGOSTO 2016'!$H$3113</f>
        <v>429051059</v>
      </c>
      <c r="CM121" s="56"/>
      <c r="CN121" s="56"/>
      <c r="CO121" s="60">
        <f t="shared" si="114"/>
        <v>0.71686046593406594</v>
      </c>
      <c r="CP121" s="25">
        <f t="shared" si="139"/>
        <v>2283200584</v>
      </c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>
        <f>T121-CH121</f>
        <v>12251643</v>
      </c>
      <c r="DD121" s="25"/>
      <c r="DE121" s="25"/>
      <c r="DF121" s="25"/>
      <c r="DG121" s="25">
        <f>X121-CL121</f>
        <v>2270948941</v>
      </c>
      <c r="DH121" s="25"/>
      <c r="DI121" s="25"/>
    </row>
    <row r="122" spans="1:113" ht="33.75" customHeight="1" x14ac:dyDescent="0.25">
      <c r="A122" s="193" t="s">
        <v>303</v>
      </c>
      <c r="B122" s="186" t="s">
        <v>341</v>
      </c>
      <c r="C122" s="70" t="s">
        <v>342</v>
      </c>
      <c r="D122" s="22" t="s">
        <v>343</v>
      </c>
      <c r="E122" s="93">
        <v>510</v>
      </c>
      <c r="F122" s="24" t="s">
        <v>344</v>
      </c>
      <c r="G122" s="25">
        <f t="shared" si="131"/>
        <v>91488992</v>
      </c>
      <c r="H122" s="25"/>
      <c r="I122" s="25"/>
      <c r="J122" s="25"/>
      <c r="K122" s="25">
        <f>95000000-3511008</f>
        <v>91488992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7">
        <f t="shared" si="104"/>
        <v>0.92325861454457825</v>
      </c>
      <c r="AC122" s="25">
        <f t="shared" si="132"/>
        <v>84468000</v>
      </c>
      <c r="AD122" s="25"/>
      <c r="AE122" s="25"/>
      <c r="AF122" s="25"/>
      <c r="AG122" s="25"/>
      <c r="AH122" s="25">
        <f>+'[6]JULIO 2016'!$O$1834</f>
        <v>84468000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7">
        <f t="shared" si="106"/>
        <v>7.6741385455421751E-2</v>
      </c>
      <c r="AY122" s="25">
        <f t="shared" si="133"/>
        <v>7020992</v>
      </c>
      <c r="AZ122" s="25">
        <f t="shared" ref="AZ122:BB127" si="145">H122-AE122</f>
        <v>0</v>
      </c>
      <c r="BA122" s="25">
        <f t="shared" si="145"/>
        <v>0</v>
      </c>
      <c r="BB122" s="25">
        <f t="shared" si="145"/>
        <v>0</v>
      </c>
      <c r="BC122" s="25">
        <f t="shared" ref="BC122:BN127" si="146">+K122-AH122</f>
        <v>7020992</v>
      </c>
      <c r="BD122" s="25">
        <f t="shared" si="146"/>
        <v>0</v>
      </c>
      <c r="BE122" s="25">
        <f t="shared" si="146"/>
        <v>0</v>
      </c>
      <c r="BF122" s="25">
        <f t="shared" si="146"/>
        <v>0</v>
      </c>
      <c r="BG122" s="25">
        <f t="shared" si="146"/>
        <v>0</v>
      </c>
      <c r="BH122" s="25">
        <f t="shared" si="146"/>
        <v>0</v>
      </c>
      <c r="BI122" s="25">
        <f t="shared" si="146"/>
        <v>0</v>
      </c>
      <c r="BJ122" s="25">
        <f t="shared" si="146"/>
        <v>0</v>
      </c>
      <c r="BK122" s="25">
        <f t="shared" si="146"/>
        <v>0</v>
      </c>
      <c r="BL122" s="25">
        <f t="shared" si="146"/>
        <v>0</v>
      </c>
      <c r="BM122" s="25">
        <f t="shared" si="146"/>
        <v>0</v>
      </c>
      <c r="BN122" s="25">
        <f t="shared" si="146"/>
        <v>0</v>
      </c>
      <c r="BO122" s="25"/>
      <c r="BP122" s="25"/>
      <c r="BQ122" s="25">
        <f t="shared" ref="BQ122:BQ127" si="147">Y122-AV122</f>
        <v>0</v>
      </c>
      <c r="BR122" s="25">
        <f t="shared" ref="BR122:BR127" si="148">+Z122-AW122</f>
        <v>0</v>
      </c>
      <c r="BS122" s="27">
        <f t="shared" si="112"/>
        <v>0.89873335799786713</v>
      </c>
      <c r="BT122" s="25">
        <f t="shared" si="138"/>
        <v>82224209</v>
      </c>
      <c r="BU122" s="25"/>
      <c r="BV122" s="25"/>
      <c r="BW122" s="25"/>
      <c r="BX122" s="25"/>
      <c r="BY122" s="25">
        <f>+'[1]AGOSTO 2016'!$H$2440</f>
        <v>82224209</v>
      </c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7">
        <f t="shared" si="114"/>
        <v>0.10126664200213287</v>
      </c>
      <c r="CP122" s="25">
        <f t="shared" si="139"/>
        <v>9264783</v>
      </c>
      <c r="CQ122" s="25">
        <f t="shared" ref="CQ122:CV127" si="149">H122-BV122</f>
        <v>0</v>
      </c>
      <c r="CR122" s="25">
        <f t="shared" si="149"/>
        <v>0</v>
      </c>
      <c r="CS122" s="25">
        <f t="shared" si="149"/>
        <v>0</v>
      </c>
      <c r="CT122" s="25">
        <f t="shared" si="149"/>
        <v>9264783</v>
      </c>
      <c r="CU122" s="25">
        <f t="shared" si="149"/>
        <v>0</v>
      </c>
      <c r="CV122" s="25">
        <f t="shared" si="149"/>
        <v>0</v>
      </c>
      <c r="CW122" s="25">
        <f t="shared" ref="CW122:CY127" si="150">+N122-CB122</f>
        <v>0</v>
      </c>
      <c r="CX122" s="25">
        <f t="shared" si="150"/>
        <v>0</v>
      </c>
      <c r="CY122" s="25">
        <f t="shared" si="150"/>
        <v>0</v>
      </c>
      <c r="CZ122" s="25">
        <f t="shared" ref="CZ122:DB127" si="151">Q122-CE122</f>
        <v>0</v>
      </c>
      <c r="DA122" s="25">
        <f t="shared" si="151"/>
        <v>0</v>
      </c>
      <c r="DB122" s="25">
        <f t="shared" si="151"/>
        <v>0</v>
      </c>
      <c r="DC122" s="25">
        <f t="shared" ref="DC122:DE127" si="152">+T122-CH122</f>
        <v>0</v>
      </c>
      <c r="DD122" s="25">
        <f t="shared" si="152"/>
        <v>0</v>
      </c>
      <c r="DE122" s="25">
        <f t="shared" si="152"/>
        <v>0</v>
      </c>
      <c r="DF122" s="25"/>
      <c r="DG122" s="25">
        <f t="shared" ref="DG122:DI127" si="153">+X122-CL122</f>
        <v>0</v>
      </c>
      <c r="DH122" s="25">
        <f t="shared" si="153"/>
        <v>0</v>
      </c>
      <c r="DI122" s="25">
        <f t="shared" si="153"/>
        <v>0</v>
      </c>
    </row>
    <row r="123" spans="1:113" ht="44.25" customHeight="1" x14ac:dyDescent="0.25">
      <c r="A123" s="193"/>
      <c r="B123" s="187"/>
      <c r="C123" s="70" t="s">
        <v>345</v>
      </c>
      <c r="D123" s="22" t="s">
        <v>346</v>
      </c>
      <c r="E123" s="93">
        <v>510</v>
      </c>
      <c r="F123" s="24" t="s">
        <v>344</v>
      </c>
      <c r="G123" s="25">
        <f t="shared" si="131"/>
        <v>105511008</v>
      </c>
      <c r="H123" s="25"/>
      <c r="I123" s="25"/>
      <c r="J123" s="25"/>
      <c r="K123" s="25">
        <f>102000000+3511008</f>
        <v>105511008</v>
      </c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B123" s="27">
        <f t="shared" si="104"/>
        <v>0.96198493336354063</v>
      </c>
      <c r="AC123" s="25">
        <f t="shared" si="132"/>
        <v>101500000</v>
      </c>
      <c r="AD123" s="25"/>
      <c r="AE123" s="25"/>
      <c r="AF123" s="25"/>
      <c r="AG123" s="25"/>
      <c r="AH123" s="25">
        <f>+'[6]JULIO 2016'!$O$1851</f>
        <v>101500000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7">
        <f t="shared" si="106"/>
        <v>3.8015066636459371E-2</v>
      </c>
      <c r="AY123" s="25">
        <f t="shared" si="133"/>
        <v>4011008</v>
      </c>
      <c r="AZ123" s="25">
        <f t="shared" si="145"/>
        <v>0</v>
      </c>
      <c r="BA123" s="25">
        <f t="shared" si="145"/>
        <v>0</v>
      </c>
      <c r="BB123" s="25">
        <f t="shared" si="145"/>
        <v>0</v>
      </c>
      <c r="BC123" s="25">
        <f t="shared" si="146"/>
        <v>4011008</v>
      </c>
      <c r="BD123" s="25">
        <f t="shared" si="146"/>
        <v>0</v>
      </c>
      <c r="BE123" s="25">
        <f t="shared" si="146"/>
        <v>0</v>
      </c>
      <c r="BF123" s="25">
        <f t="shared" si="146"/>
        <v>0</v>
      </c>
      <c r="BG123" s="25">
        <f t="shared" si="146"/>
        <v>0</v>
      </c>
      <c r="BH123" s="25">
        <f t="shared" si="146"/>
        <v>0</v>
      </c>
      <c r="BI123" s="25">
        <f t="shared" si="146"/>
        <v>0</v>
      </c>
      <c r="BJ123" s="25">
        <f t="shared" si="146"/>
        <v>0</v>
      </c>
      <c r="BK123" s="25">
        <f t="shared" si="146"/>
        <v>0</v>
      </c>
      <c r="BL123" s="25">
        <f t="shared" si="146"/>
        <v>0</v>
      </c>
      <c r="BM123" s="25">
        <f t="shared" si="146"/>
        <v>0</v>
      </c>
      <c r="BN123" s="25">
        <f t="shared" si="146"/>
        <v>0</v>
      </c>
      <c r="BO123" s="25"/>
      <c r="BP123" s="25"/>
      <c r="BQ123" s="25">
        <f t="shared" si="147"/>
        <v>0</v>
      </c>
      <c r="BR123" s="25">
        <f t="shared" si="148"/>
        <v>0</v>
      </c>
      <c r="BS123" s="27">
        <f t="shared" si="112"/>
        <v>0.95702875855379943</v>
      </c>
      <c r="BT123" s="25">
        <f t="shared" si="138"/>
        <v>100977069</v>
      </c>
      <c r="BU123" s="25"/>
      <c r="BV123" s="25"/>
      <c r="BW123" s="25"/>
      <c r="BX123" s="25"/>
      <c r="BY123" s="25">
        <f>+'[6]JULIO 2016'!$H$1849</f>
        <v>100977069</v>
      </c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7">
        <f t="shared" si="114"/>
        <v>4.297124144620057E-2</v>
      </c>
      <c r="CP123" s="25">
        <f t="shared" si="139"/>
        <v>4533939</v>
      </c>
      <c r="CQ123" s="25">
        <f t="shared" si="149"/>
        <v>0</v>
      </c>
      <c r="CR123" s="25">
        <f t="shared" si="149"/>
        <v>0</v>
      </c>
      <c r="CS123" s="25">
        <f t="shared" si="149"/>
        <v>0</v>
      </c>
      <c r="CT123" s="25">
        <f t="shared" si="149"/>
        <v>4533939</v>
      </c>
      <c r="CU123" s="25">
        <f t="shared" si="149"/>
        <v>0</v>
      </c>
      <c r="CV123" s="25">
        <f t="shared" si="149"/>
        <v>0</v>
      </c>
      <c r="CW123" s="25">
        <f t="shared" si="150"/>
        <v>0</v>
      </c>
      <c r="CX123" s="25">
        <f t="shared" si="150"/>
        <v>0</v>
      </c>
      <c r="CY123" s="25">
        <f t="shared" si="150"/>
        <v>0</v>
      </c>
      <c r="CZ123" s="25">
        <f t="shared" si="151"/>
        <v>0</v>
      </c>
      <c r="DA123" s="25">
        <f t="shared" si="151"/>
        <v>0</v>
      </c>
      <c r="DB123" s="25">
        <f t="shared" si="151"/>
        <v>0</v>
      </c>
      <c r="DC123" s="25">
        <f t="shared" si="152"/>
        <v>0</v>
      </c>
      <c r="DD123" s="25">
        <f t="shared" si="152"/>
        <v>0</v>
      </c>
      <c r="DE123" s="25">
        <f t="shared" si="152"/>
        <v>0</v>
      </c>
      <c r="DF123" s="25"/>
      <c r="DG123" s="25">
        <f t="shared" si="153"/>
        <v>0</v>
      </c>
      <c r="DH123" s="25">
        <f t="shared" si="153"/>
        <v>0</v>
      </c>
      <c r="DI123" s="25">
        <f t="shared" si="153"/>
        <v>0</v>
      </c>
    </row>
    <row r="124" spans="1:113" ht="38.25" customHeight="1" x14ac:dyDescent="0.25">
      <c r="A124" s="193"/>
      <c r="B124" s="188"/>
      <c r="C124" s="70" t="s">
        <v>347</v>
      </c>
      <c r="D124" s="22" t="s">
        <v>348</v>
      </c>
      <c r="E124" s="93">
        <v>510</v>
      </c>
      <c r="F124" s="24" t="s">
        <v>344</v>
      </c>
      <c r="G124" s="25">
        <f t="shared" si="131"/>
        <v>10000000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>
        <v>10000000</v>
      </c>
      <c r="T124" s="25"/>
      <c r="U124" s="25"/>
      <c r="V124" s="25"/>
      <c r="W124" s="25"/>
      <c r="X124" s="25"/>
      <c r="Y124" s="25"/>
      <c r="Z124" s="25"/>
      <c r="AB124" s="27">
        <f t="shared" si="104"/>
        <v>0</v>
      </c>
      <c r="AC124" s="25">
        <f t="shared" si="132"/>
        <v>0</v>
      </c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7">
        <f t="shared" si="106"/>
        <v>1</v>
      </c>
      <c r="AY124" s="25">
        <f t="shared" si="133"/>
        <v>10000000</v>
      </c>
      <c r="AZ124" s="25">
        <f t="shared" si="145"/>
        <v>0</v>
      </c>
      <c r="BA124" s="25">
        <f t="shared" si="145"/>
        <v>0</v>
      </c>
      <c r="BB124" s="25">
        <f t="shared" si="145"/>
        <v>0</v>
      </c>
      <c r="BC124" s="25">
        <f t="shared" si="146"/>
        <v>0</v>
      </c>
      <c r="BD124" s="25">
        <f t="shared" si="146"/>
        <v>0</v>
      </c>
      <c r="BE124" s="25">
        <f t="shared" si="146"/>
        <v>0</v>
      </c>
      <c r="BF124" s="25">
        <f t="shared" si="146"/>
        <v>0</v>
      </c>
      <c r="BG124" s="25">
        <f t="shared" si="146"/>
        <v>0</v>
      </c>
      <c r="BH124" s="25">
        <f t="shared" si="146"/>
        <v>0</v>
      </c>
      <c r="BI124" s="25">
        <f t="shared" si="146"/>
        <v>0</v>
      </c>
      <c r="BJ124" s="25">
        <f t="shared" si="146"/>
        <v>0</v>
      </c>
      <c r="BK124" s="25">
        <f t="shared" si="146"/>
        <v>10000000</v>
      </c>
      <c r="BL124" s="25">
        <f t="shared" si="146"/>
        <v>0</v>
      </c>
      <c r="BM124" s="25">
        <f t="shared" si="146"/>
        <v>0</v>
      </c>
      <c r="BN124" s="25">
        <f t="shared" si="146"/>
        <v>0</v>
      </c>
      <c r="BO124" s="25"/>
      <c r="BP124" s="25"/>
      <c r="BQ124" s="25">
        <f t="shared" si="147"/>
        <v>0</v>
      </c>
      <c r="BR124" s="25">
        <f t="shared" si="148"/>
        <v>0</v>
      </c>
      <c r="BS124" s="27">
        <f t="shared" si="112"/>
        <v>0</v>
      </c>
      <c r="BT124" s="25">
        <f t="shared" si="138"/>
        <v>0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7">
        <f t="shared" si="114"/>
        <v>1</v>
      </c>
      <c r="CP124" s="25">
        <f t="shared" si="139"/>
        <v>10000000</v>
      </c>
      <c r="CQ124" s="25">
        <f t="shared" si="149"/>
        <v>0</v>
      </c>
      <c r="CR124" s="25">
        <f t="shared" si="149"/>
        <v>0</v>
      </c>
      <c r="CS124" s="25">
        <f t="shared" si="149"/>
        <v>0</v>
      </c>
      <c r="CT124" s="25">
        <f t="shared" si="149"/>
        <v>0</v>
      </c>
      <c r="CU124" s="25">
        <f t="shared" si="149"/>
        <v>0</v>
      </c>
      <c r="CV124" s="25">
        <f t="shared" si="149"/>
        <v>0</v>
      </c>
      <c r="CW124" s="25">
        <f t="shared" si="150"/>
        <v>0</v>
      </c>
      <c r="CX124" s="25">
        <f t="shared" si="150"/>
        <v>0</v>
      </c>
      <c r="CY124" s="25">
        <f t="shared" si="150"/>
        <v>0</v>
      </c>
      <c r="CZ124" s="25">
        <f t="shared" si="151"/>
        <v>0</v>
      </c>
      <c r="DA124" s="25">
        <f t="shared" si="151"/>
        <v>0</v>
      </c>
      <c r="DB124" s="25">
        <f t="shared" si="151"/>
        <v>10000000</v>
      </c>
      <c r="DC124" s="25">
        <f t="shared" si="152"/>
        <v>0</v>
      </c>
      <c r="DD124" s="25">
        <f t="shared" si="152"/>
        <v>0</v>
      </c>
      <c r="DE124" s="25">
        <f t="shared" si="152"/>
        <v>0</v>
      </c>
      <c r="DF124" s="25"/>
      <c r="DG124" s="25">
        <f t="shared" si="153"/>
        <v>0</v>
      </c>
      <c r="DH124" s="25">
        <f t="shared" si="153"/>
        <v>0</v>
      </c>
      <c r="DI124" s="25">
        <f t="shared" si="153"/>
        <v>0</v>
      </c>
    </row>
    <row r="125" spans="1:113" ht="39.75" customHeight="1" x14ac:dyDescent="0.25">
      <c r="A125" s="193"/>
      <c r="B125" s="90" t="s">
        <v>349</v>
      </c>
      <c r="C125" s="70" t="s">
        <v>350</v>
      </c>
      <c r="D125" s="22" t="s">
        <v>351</v>
      </c>
      <c r="E125" s="93">
        <v>510</v>
      </c>
      <c r="F125" s="24" t="s">
        <v>344</v>
      </c>
      <c r="G125" s="25">
        <f t="shared" si="131"/>
        <v>80000000</v>
      </c>
      <c r="H125" s="25"/>
      <c r="I125" s="25"/>
      <c r="J125" s="25"/>
      <c r="K125" s="25">
        <v>80000000</v>
      </c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B125" s="27">
        <f t="shared" si="104"/>
        <v>1</v>
      </c>
      <c r="AC125" s="25">
        <f t="shared" si="132"/>
        <v>80000000</v>
      </c>
      <c r="AD125" s="25"/>
      <c r="AE125" s="25"/>
      <c r="AF125" s="25"/>
      <c r="AG125" s="25"/>
      <c r="AH125" s="25">
        <f>+'[4]ENERO 2016'!$O$625</f>
        <v>80000000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7">
        <f t="shared" si="106"/>
        <v>0</v>
      </c>
      <c r="AY125" s="25">
        <f t="shared" si="133"/>
        <v>0</v>
      </c>
      <c r="AZ125" s="25">
        <f t="shared" si="145"/>
        <v>0</v>
      </c>
      <c r="BA125" s="25">
        <f t="shared" si="145"/>
        <v>0</v>
      </c>
      <c r="BB125" s="25">
        <f t="shared" si="145"/>
        <v>0</v>
      </c>
      <c r="BC125" s="25">
        <f t="shared" si="146"/>
        <v>0</v>
      </c>
      <c r="BD125" s="25">
        <f t="shared" si="146"/>
        <v>0</v>
      </c>
      <c r="BE125" s="25">
        <f t="shared" si="146"/>
        <v>0</v>
      </c>
      <c r="BF125" s="25">
        <f t="shared" si="146"/>
        <v>0</v>
      </c>
      <c r="BG125" s="25">
        <f t="shared" si="146"/>
        <v>0</v>
      </c>
      <c r="BH125" s="25">
        <f t="shared" si="146"/>
        <v>0</v>
      </c>
      <c r="BI125" s="25">
        <f t="shared" si="146"/>
        <v>0</v>
      </c>
      <c r="BJ125" s="25">
        <f t="shared" si="146"/>
        <v>0</v>
      </c>
      <c r="BK125" s="25">
        <f t="shared" si="146"/>
        <v>0</v>
      </c>
      <c r="BL125" s="25">
        <f t="shared" si="146"/>
        <v>0</v>
      </c>
      <c r="BM125" s="25">
        <f t="shared" si="146"/>
        <v>0</v>
      </c>
      <c r="BN125" s="25">
        <f t="shared" si="146"/>
        <v>0</v>
      </c>
      <c r="BO125" s="25"/>
      <c r="BP125" s="25"/>
      <c r="BQ125" s="25">
        <f t="shared" si="147"/>
        <v>0</v>
      </c>
      <c r="BR125" s="25">
        <f t="shared" si="148"/>
        <v>0</v>
      </c>
      <c r="BS125" s="27">
        <f t="shared" si="112"/>
        <v>0.97971187500000001</v>
      </c>
      <c r="BT125" s="25">
        <f t="shared" si="138"/>
        <v>78376950</v>
      </c>
      <c r="BU125" s="25"/>
      <c r="BV125" s="25"/>
      <c r="BW125" s="25"/>
      <c r="BX125" s="25"/>
      <c r="BY125" s="25">
        <f>+'[9]MARZO 2016 ULTIMO'!$H$1027</f>
        <v>78376950</v>
      </c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7">
        <f t="shared" si="114"/>
        <v>2.028812499999999E-2</v>
      </c>
      <c r="CP125" s="25">
        <f t="shared" si="139"/>
        <v>1623050</v>
      </c>
      <c r="CQ125" s="25">
        <f t="shared" si="149"/>
        <v>0</v>
      </c>
      <c r="CR125" s="25">
        <f t="shared" si="149"/>
        <v>0</v>
      </c>
      <c r="CS125" s="25">
        <f t="shared" si="149"/>
        <v>0</v>
      </c>
      <c r="CT125" s="25">
        <f t="shared" si="149"/>
        <v>1623050</v>
      </c>
      <c r="CU125" s="25">
        <f t="shared" si="149"/>
        <v>0</v>
      </c>
      <c r="CV125" s="25">
        <f t="shared" si="149"/>
        <v>0</v>
      </c>
      <c r="CW125" s="25">
        <f t="shared" si="150"/>
        <v>0</v>
      </c>
      <c r="CX125" s="25">
        <f t="shared" si="150"/>
        <v>0</v>
      </c>
      <c r="CY125" s="25">
        <f t="shared" si="150"/>
        <v>0</v>
      </c>
      <c r="CZ125" s="25">
        <f t="shared" si="151"/>
        <v>0</v>
      </c>
      <c r="DA125" s="25">
        <f t="shared" si="151"/>
        <v>0</v>
      </c>
      <c r="DB125" s="25">
        <f t="shared" si="151"/>
        <v>0</v>
      </c>
      <c r="DC125" s="25">
        <f t="shared" si="152"/>
        <v>0</v>
      </c>
      <c r="DD125" s="25">
        <f t="shared" si="152"/>
        <v>0</v>
      </c>
      <c r="DE125" s="25">
        <f t="shared" si="152"/>
        <v>0</v>
      </c>
      <c r="DF125" s="25"/>
      <c r="DG125" s="25">
        <f t="shared" si="153"/>
        <v>0</v>
      </c>
      <c r="DH125" s="25">
        <f t="shared" si="153"/>
        <v>0</v>
      </c>
      <c r="DI125" s="25">
        <f t="shared" si="153"/>
        <v>0</v>
      </c>
    </row>
    <row r="126" spans="1:113" ht="39.75" customHeight="1" x14ac:dyDescent="0.25">
      <c r="A126" s="193"/>
      <c r="B126" s="90" t="s">
        <v>352</v>
      </c>
      <c r="C126" s="70" t="s">
        <v>353</v>
      </c>
      <c r="D126" s="22" t="s">
        <v>354</v>
      </c>
      <c r="E126" s="93">
        <v>510</v>
      </c>
      <c r="F126" s="24" t="s">
        <v>355</v>
      </c>
      <c r="G126" s="25">
        <f t="shared" si="131"/>
        <v>110000000</v>
      </c>
      <c r="H126" s="25"/>
      <c r="I126" s="25"/>
      <c r="J126" s="25"/>
      <c r="K126" s="25">
        <v>110000000</v>
      </c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B126" s="27">
        <f t="shared" si="104"/>
        <v>1</v>
      </c>
      <c r="AC126" s="25">
        <f t="shared" si="132"/>
        <v>110000000</v>
      </c>
      <c r="AD126" s="25"/>
      <c r="AE126" s="25"/>
      <c r="AF126" s="25"/>
      <c r="AG126" s="25"/>
      <c r="AH126" s="25">
        <f>+'[6]JULIO 2016'!$O$1895</f>
        <v>110000000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7">
        <f t="shared" si="106"/>
        <v>0</v>
      </c>
      <c r="AY126" s="25">
        <f t="shared" si="133"/>
        <v>0</v>
      </c>
      <c r="AZ126" s="25">
        <f t="shared" si="145"/>
        <v>0</v>
      </c>
      <c r="BA126" s="25">
        <f t="shared" si="145"/>
        <v>0</v>
      </c>
      <c r="BB126" s="25">
        <f t="shared" si="145"/>
        <v>0</v>
      </c>
      <c r="BC126" s="25">
        <f t="shared" si="146"/>
        <v>0</v>
      </c>
      <c r="BD126" s="25">
        <f t="shared" si="146"/>
        <v>0</v>
      </c>
      <c r="BE126" s="25">
        <f t="shared" si="146"/>
        <v>0</v>
      </c>
      <c r="BF126" s="25">
        <f t="shared" si="146"/>
        <v>0</v>
      </c>
      <c r="BG126" s="25">
        <f t="shared" si="146"/>
        <v>0</v>
      </c>
      <c r="BH126" s="25">
        <f t="shared" si="146"/>
        <v>0</v>
      </c>
      <c r="BI126" s="25">
        <f t="shared" si="146"/>
        <v>0</v>
      </c>
      <c r="BJ126" s="25">
        <f t="shared" si="146"/>
        <v>0</v>
      </c>
      <c r="BK126" s="25">
        <f t="shared" si="146"/>
        <v>0</v>
      </c>
      <c r="BL126" s="25">
        <f t="shared" si="146"/>
        <v>0</v>
      </c>
      <c r="BM126" s="25">
        <f t="shared" si="146"/>
        <v>0</v>
      </c>
      <c r="BN126" s="25">
        <f t="shared" si="146"/>
        <v>0</v>
      </c>
      <c r="BO126" s="25"/>
      <c r="BP126" s="25"/>
      <c r="BQ126" s="25">
        <f t="shared" si="147"/>
        <v>0</v>
      </c>
      <c r="BR126" s="25">
        <f t="shared" si="148"/>
        <v>0</v>
      </c>
      <c r="BS126" s="27">
        <f t="shared" si="112"/>
        <v>0.97765769090909094</v>
      </c>
      <c r="BT126" s="25">
        <f t="shared" si="138"/>
        <v>107542346</v>
      </c>
      <c r="BU126" s="25"/>
      <c r="BV126" s="25"/>
      <c r="BW126" s="25"/>
      <c r="BX126" s="25"/>
      <c r="BY126" s="25">
        <f>+'[6]JULIO 2016'!$H$1893</f>
        <v>107542346</v>
      </c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7">
        <f t="shared" si="114"/>
        <v>2.2342309090909063E-2</v>
      </c>
      <c r="CP126" s="25">
        <f t="shared" si="139"/>
        <v>2457654</v>
      </c>
      <c r="CQ126" s="25">
        <f t="shared" si="149"/>
        <v>0</v>
      </c>
      <c r="CR126" s="25">
        <f t="shared" si="149"/>
        <v>0</v>
      </c>
      <c r="CS126" s="25">
        <f t="shared" si="149"/>
        <v>0</v>
      </c>
      <c r="CT126" s="25">
        <f t="shared" si="149"/>
        <v>2457654</v>
      </c>
      <c r="CU126" s="25">
        <f t="shared" si="149"/>
        <v>0</v>
      </c>
      <c r="CV126" s="25">
        <f t="shared" si="149"/>
        <v>0</v>
      </c>
      <c r="CW126" s="25">
        <f t="shared" si="150"/>
        <v>0</v>
      </c>
      <c r="CX126" s="25">
        <f t="shared" si="150"/>
        <v>0</v>
      </c>
      <c r="CY126" s="25">
        <f t="shared" si="150"/>
        <v>0</v>
      </c>
      <c r="CZ126" s="25">
        <f t="shared" si="151"/>
        <v>0</v>
      </c>
      <c r="DA126" s="25">
        <f t="shared" si="151"/>
        <v>0</v>
      </c>
      <c r="DB126" s="25">
        <f t="shared" si="151"/>
        <v>0</v>
      </c>
      <c r="DC126" s="25">
        <f t="shared" si="152"/>
        <v>0</v>
      </c>
      <c r="DD126" s="25">
        <f t="shared" si="152"/>
        <v>0</v>
      </c>
      <c r="DE126" s="25">
        <f t="shared" si="152"/>
        <v>0</v>
      </c>
      <c r="DF126" s="25"/>
      <c r="DG126" s="25">
        <f t="shared" si="153"/>
        <v>0</v>
      </c>
      <c r="DH126" s="25">
        <f t="shared" si="153"/>
        <v>0</v>
      </c>
      <c r="DI126" s="25">
        <f t="shared" si="153"/>
        <v>0</v>
      </c>
    </row>
    <row r="127" spans="1:113" ht="47.25" customHeight="1" x14ac:dyDescent="0.25">
      <c r="A127" s="194"/>
      <c r="B127" s="90" t="s">
        <v>356</v>
      </c>
      <c r="C127" s="70" t="s">
        <v>357</v>
      </c>
      <c r="D127" s="22" t="s">
        <v>358</v>
      </c>
      <c r="E127" s="93">
        <v>310</v>
      </c>
      <c r="F127" s="24" t="s">
        <v>359</v>
      </c>
      <c r="G127" s="25">
        <f t="shared" si="131"/>
        <v>270168096</v>
      </c>
      <c r="H127" s="25"/>
      <c r="I127" s="25"/>
      <c r="J127" s="25"/>
      <c r="K127" s="25">
        <v>243168096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f>25000000+2000000</f>
        <v>27000000</v>
      </c>
      <c r="AB127" s="27">
        <f t="shared" si="104"/>
        <v>0.55439717426886703</v>
      </c>
      <c r="AC127" s="25">
        <f t="shared" si="132"/>
        <v>149780429</v>
      </c>
      <c r="AD127" s="25"/>
      <c r="AE127" s="25"/>
      <c r="AF127" s="25"/>
      <c r="AG127" s="25"/>
      <c r="AH127" s="25">
        <f>+'[6]JULIO 2016'!$O$477</f>
        <v>145193691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>
        <f>+'[1]AGOSTO 2016'!$AG$556</f>
        <v>4586738</v>
      </c>
      <c r="AX127" s="27">
        <f t="shared" si="106"/>
        <v>0.44560282573113297</v>
      </c>
      <c r="AY127" s="25">
        <f t="shared" si="133"/>
        <v>120387667</v>
      </c>
      <c r="AZ127" s="25">
        <f t="shared" si="145"/>
        <v>0</v>
      </c>
      <c r="BA127" s="25">
        <f t="shared" si="145"/>
        <v>0</v>
      </c>
      <c r="BB127" s="25">
        <f t="shared" si="145"/>
        <v>0</v>
      </c>
      <c r="BC127" s="25">
        <f t="shared" si="146"/>
        <v>97974405</v>
      </c>
      <c r="BD127" s="25">
        <f t="shared" si="146"/>
        <v>0</v>
      </c>
      <c r="BE127" s="25">
        <f t="shared" si="146"/>
        <v>0</v>
      </c>
      <c r="BF127" s="25">
        <f t="shared" si="146"/>
        <v>0</v>
      </c>
      <c r="BG127" s="25">
        <f t="shared" si="146"/>
        <v>0</v>
      </c>
      <c r="BH127" s="25">
        <f t="shared" si="146"/>
        <v>0</v>
      </c>
      <c r="BI127" s="25">
        <f t="shared" si="146"/>
        <v>0</v>
      </c>
      <c r="BJ127" s="25">
        <f t="shared" si="146"/>
        <v>0</v>
      </c>
      <c r="BK127" s="25">
        <f t="shared" si="146"/>
        <v>0</v>
      </c>
      <c r="BL127" s="25">
        <f t="shared" si="146"/>
        <v>0</v>
      </c>
      <c r="BM127" s="25">
        <f t="shared" si="146"/>
        <v>0</v>
      </c>
      <c r="BN127" s="25">
        <f t="shared" si="146"/>
        <v>0</v>
      </c>
      <c r="BO127" s="25"/>
      <c r="BP127" s="25"/>
      <c r="BQ127" s="25">
        <f t="shared" si="147"/>
        <v>0</v>
      </c>
      <c r="BR127" s="25">
        <f t="shared" si="148"/>
        <v>22413262</v>
      </c>
      <c r="BS127" s="27">
        <f t="shared" si="112"/>
        <v>0.30695890531796916</v>
      </c>
      <c r="BT127" s="25">
        <f t="shared" si="138"/>
        <v>82930503</v>
      </c>
      <c r="BU127" s="25"/>
      <c r="BV127" s="25"/>
      <c r="BW127" s="25"/>
      <c r="BX127" s="25"/>
      <c r="BY127" s="25">
        <f>'[1]AGOSTO 2016'!$H$554-CN127</f>
        <v>78343765</v>
      </c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>
        <f>'[1]AGOSTO 2016'!$AG$606+'[1]AGOSTO 2016'!$H$615+'[1]AGOSTO 2016'!$H$616</f>
        <v>4586738</v>
      </c>
      <c r="CO127" s="27">
        <f t="shared" si="114"/>
        <v>0.6930410946820309</v>
      </c>
      <c r="CP127" s="25">
        <f t="shared" si="139"/>
        <v>187237593</v>
      </c>
      <c r="CQ127" s="25">
        <f t="shared" si="149"/>
        <v>0</v>
      </c>
      <c r="CR127" s="25">
        <f t="shared" si="149"/>
        <v>0</v>
      </c>
      <c r="CS127" s="25">
        <f t="shared" si="149"/>
        <v>0</v>
      </c>
      <c r="CT127" s="25">
        <f t="shared" si="149"/>
        <v>164824331</v>
      </c>
      <c r="CU127" s="25">
        <f t="shared" si="149"/>
        <v>0</v>
      </c>
      <c r="CV127" s="25">
        <f t="shared" si="149"/>
        <v>0</v>
      </c>
      <c r="CW127" s="25">
        <f t="shared" si="150"/>
        <v>0</v>
      </c>
      <c r="CX127" s="25">
        <f t="shared" si="150"/>
        <v>0</v>
      </c>
      <c r="CY127" s="25">
        <f t="shared" si="150"/>
        <v>0</v>
      </c>
      <c r="CZ127" s="25">
        <f t="shared" si="151"/>
        <v>0</v>
      </c>
      <c r="DA127" s="25">
        <f t="shared" si="151"/>
        <v>0</v>
      </c>
      <c r="DB127" s="25">
        <f t="shared" si="151"/>
        <v>0</v>
      </c>
      <c r="DC127" s="25">
        <f t="shared" si="152"/>
        <v>0</v>
      </c>
      <c r="DD127" s="25">
        <f t="shared" si="152"/>
        <v>0</v>
      </c>
      <c r="DE127" s="25">
        <f t="shared" si="152"/>
        <v>0</v>
      </c>
      <c r="DF127" s="25"/>
      <c r="DG127" s="25">
        <f t="shared" si="153"/>
        <v>0</v>
      </c>
      <c r="DH127" s="25">
        <f t="shared" si="153"/>
        <v>0</v>
      </c>
      <c r="DI127" s="25">
        <f t="shared" si="153"/>
        <v>22413262</v>
      </c>
    </row>
    <row r="128" spans="1:113" s="47" customFormat="1" ht="18.75" customHeight="1" thickBot="1" x14ac:dyDescent="0.3">
      <c r="A128" s="98"/>
      <c r="B128" s="207" t="s">
        <v>360</v>
      </c>
      <c r="C128" s="208"/>
      <c r="D128" s="209"/>
      <c r="E128" s="99"/>
      <c r="F128" s="100"/>
      <c r="G128" s="63">
        <f t="shared" ref="G128:Z128" si="154">SUM(G109:G127)</f>
        <v>11761361275</v>
      </c>
      <c r="H128" s="63">
        <f t="shared" si="154"/>
        <v>0</v>
      </c>
      <c r="I128" s="63">
        <f t="shared" si="154"/>
        <v>6445738942</v>
      </c>
      <c r="J128" s="63">
        <f t="shared" si="154"/>
        <v>171003327</v>
      </c>
      <c r="K128" s="63">
        <f t="shared" si="154"/>
        <v>630168096</v>
      </c>
      <c r="L128" s="63">
        <f t="shared" si="154"/>
        <v>0</v>
      </c>
      <c r="M128" s="63">
        <f t="shared" si="154"/>
        <v>54387</v>
      </c>
      <c r="N128" s="63">
        <f t="shared" si="154"/>
        <v>30665828</v>
      </c>
      <c r="O128" s="63">
        <f t="shared" si="154"/>
        <v>1940856</v>
      </c>
      <c r="P128" s="63">
        <f t="shared" si="154"/>
        <v>3438802</v>
      </c>
      <c r="Q128" s="63">
        <f t="shared" si="154"/>
        <v>345941457</v>
      </c>
      <c r="R128" s="63">
        <f t="shared" si="154"/>
        <v>0</v>
      </c>
      <c r="S128" s="63">
        <f t="shared" si="154"/>
        <v>390000000</v>
      </c>
      <c r="T128" s="63">
        <f t="shared" si="154"/>
        <v>485000000</v>
      </c>
      <c r="U128" s="63">
        <f t="shared" si="154"/>
        <v>0</v>
      </c>
      <c r="V128" s="63">
        <f t="shared" si="154"/>
        <v>0</v>
      </c>
      <c r="W128" s="63">
        <f t="shared" si="154"/>
        <v>0</v>
      </c>
      <c r="X128" s="63">
        <f t="shared" si="154"/>
        <v>2700000000</v>
      </c>
      <c r="Y128" s="63">
        <f t="shared" si="154"/>
        <v>0</v>
      </c>
      <c r="Z128" s="63">
        <f t="shared" si="154"/>
        <v>557409580</v>
      </c>
      <c r="AB128" s="43">
        <f t="shared" si="104"/>
        <v>0.75334997053731778</v>
      </c>
      <c r="AC128" s="63">
        <f>SUM(AC109:AC127)</f>
        <v>8860421170</v>
      </c>
      <c r="AD128" s="63"/>
      <c r="AE128" s="63">
        <f t="shared" ref="AE128:AW128" si="155">SUM(AE109:AE127)</f>
        <v>0</v>
      </c>
      <c r="AF128" s="63">
        <f t="shared" si="155"/>
        <v>4566125044</v>
      </c>
      <c r="AG128" s="63">
        <f t="shared" si="155"/>
        <v>52484687</v>
      </c>
      <c r="AH128" s="63">
        <f t="shared" si="155"/>
        <v>521161691</v>
      </c>
      <c r="AI128" s="63">
        <f t="shared" si="155"/>
        <v>0</v>
      </c>
      <c r="AJ128" s="63">
        <f t="shared" si="155"/>
        <v>0</v>
      </c>
      <c r="AK128" s="63">
        <f t="shared" si="155"/>
        <v>0</v>
      </c>
      <c r="AL128" s="63">
        <f t="shared" si="155"/>
        <v>0</v>
      </c>
      <c r="AM128" s="63">
        <f t="shared" si="155"/>
        <v>0</v>
      </c>
      <c r="AN128" s="63">
        <f t="shared" si="155"/>
        <v>164856575</v>
      </c>
      <c r="AO128" s="63">
        <f t="shared" si="155"/>
        <v>0</v>
      </c>
      <c r="AP128" s="63">
        <f t="shared" si="155"/>
        <v>250000000</v>
      </c>
      <c r="AQ128" s="63">
        <f t="shared" si="155"/>
        <v>485000000</v>
      </c>
      <c r="AR128" s="63">
        <f t="shared" si="155"/>
        <v>0</v>
      </c>
      <c r="AS128" s="63">
        <f t="shared" si="155"/>
        <v>0</v>
      </c>
      <c r="AT128" s="63">
        <f t="shared" si="155"/>
        <v>0</v>
      </c>
      <c r="AU128" s="63">
        <f t="shared" si="155"/>
        <v>2700000000</v>
      </c>
      <c r="AV128" s="63">
        <f t="shared" si="155"/>
        <v>0</v>
      </c>
      <c r="AW128" s="63">
        <f t="shared" si="155"/>
        <v>120793173</v>
      </c>
      <c r="AX128" s="43">
        <f t="shared" si="106"/>
        <v>0.24665002946268222</v>
      </c>
      <c r="AY128" s="63">
        <f>SUM(AY109:AY127)</f>
        <v>2900940105</v>
      </c>
      <c r="AZ128" s="63">
        <f t="shared" ref="AZ128:BR128" si="156">SUM(AZ109:AZ127)</f>
        <v>0</v>
      </c>
      <c r="BA128" s="63">
        <f t="shared" si="156"/>
        <v>1879613898</v>
      </c>
      <c r="BB128" s="63">
        <f t="shared" si="156"/>
        <v>118518640</v>
      </c>
      <c r="BC128" s="63">
        <f t="shared" si="156"/>
        <v>109006405</v>
      </c>
      <c r="BD128" s="63">
        <f t="shared" si="156"/>
        <v>0</v>
      </c>
      <c r="BE128" s="63">
        <f t="shared" si="156"/>
        <v>54387</v>
      </c>
      <c r="BF128" s="63">
        <f t="shared" si="156"/>
        <v>30665828</v>
      </c>
      <c r="BG128" s="63">
        <f t="shared" si="156"/>
        <v>1940856</v>
      </c>
      <c r="BH128" s="63">
        <f t="shared" si="156"/>
        <v>3438802</v>
      </c>
      <c r="BI128" s="63">
        <f t="shared" si="156"/>
        <v>181084882</v>
      </c>
      <c r="BJ128" s="63">
        <f t="shared" si="156"/>
        <v>0</v>
      </c>
      <c r="BK128" s="63">
        <f t="shared" si="156"/>
        <v>140000000</v>
      </c>
      <c r="BL128" s="63">
        <f t="shared" si="156"/>
        <v>0</v>
      </c>
      <c r="BM128" s="63">
        <f t="shared" si="156"/>
        <v>0</v>
      </c>
      <c r="BN128" s="63">
        <f t="shared" si="156"/>
        <v>0</v>
      </c>
      <c r="BO128" s="63">
        <f t="shared" si="156"/>
        <v>0</v>
      </c>
      <c r="BP128" s="63">
        <f t="shared" si="156"/>
        <v>0</v>
      </c>
      <c r="BQ128" s="63">
        <f t="shared" si="156"/>
        <v>0</v>
      </c>
      <c r="BR128" s="63">
        <f t="shared" si="156"/>
        <v>436616407</v>
      </c>
      <c r="BS128" s="43">
        <f t="shared" si="112"/>
        <v>0.43907323584871344</v>
      </c>
      <c r="BT128" s="63">
        <f t="shared" ref="BT128:CJ128" si="157">SUM(BT109:BT127)</f>
        <v>5164098953</v>
      </c>
      <c r="BU128" s="63">
        <f t="shared" si="157"/>
        <v>0</v>
      </c>
      <c r="BV128" s="63">
        <f t="shared" si="157"/>
        <v>0</v>
      </c>
      <c r="BW128" s="63">
        <f t="shared" si="157"/>
        <v>3310469883</v>
      </c>
      <c r="BX128" s="63">
        <f t="shared" si="157"/>
        <v>45348340</v>
      </c>
      <c r="BY128" s="63">
        <f t="shared" si="157"/>
        <v>447464339</v>
      </c>
      <c r="BZ128" s="63">
        <f t="shared" si="157"/>
        <v>0</v>
      </c>
      <c r="CA128" s="63">
        <f t="shared" si="157"/>
        <v>0</v>
      </c>
      <c r="CB128" s="63">
        <f t="shared" si="157"/>
        <v>0</v>
      </c>
      <c r="CC128" s="63">
        <f t="shared" si="157"/>
        <v>0</v>
      </c>
      <c r="CD128" s="63">
        <f t="shared" si="157"/>
        <v>0</v>
      </c>
      <c r="CE128" s="63">
        <f t="shared" si="157"/>
        <v>94856575</v>
      </c>
      <c r="CF128" s="63">
        <f t="shared" si="157"/>
        <v>0</v>
      </c>
      <c r="CG128" s="63">
        <f t="shared" si="157"/>
        <v>249680327</v>
      </c>
      <c r="CH128" s="63">
        <f t="shared" si="157"/>
        <v>472748357</v>
      </c>
      <c r="CI128" s="63">
        <f t="shared" si="157"/>
        <v>0</v>
      </c>
      <c r="CJ128" s="63">
        <f t="shared" si="157"/>
        <v>0</v>
      </c>
      <c r="CK128" s="63"/>
      <c r="CL128" s="63">
        <f>SUM(CL109:CL127)</f>
        <v>429051059</v>
      </c>
      <c r="CM128" s="63">
        <f>SUM(CM109:CM127)</f>
        <v>0</v>
      </c>
      <c r="CN128" s="63">
        <f>SUM(CN109:CN127)</f>
        <v>114480073</v>
      </c>
      <c r="CO128" s="43">
        <f t="shared" si="114"/>
        <v>0.56092676415128651</v>
      </c>
      <c r="CP128" s="63">
        <f t="shared" ref="CP128:DI128" si="158">SUM(CP109:CP127)</f>
        <v>6597262322</v>
      </c>
      <c r="CQ128" s="63">
        <f t="shared" si="158"/>
        <v>0</v>
      </c>
      <c r="CR128" s="63">
        <f t="shared" si="158"/>
        <v>3135269059</v>
      </c>
      <c r="CS128" s="63">
        <f t="shared" si="158"/>
        <v>125654987</v>
      </c>
      <c r="CT128" s="63">
        <f t="shared" si="158"/>
        <v>182703757</v>
      </c>
      <c r="CU128" s="63">
        <f t="shared" si="158"/>
        <v>0</v>
      </c>
      <c r="CV128" s="63">
        <f t="shared" si="158"/>
        <v>54387</v>
      </c>
      <c r="CW128" s="63">
        <f t="shared" si="158"/>
        <v>30665828</v>
      </c>
      <c r="CX128" s="63">
        <f t="shared" si="158"/>
        <v>1940856</v>
      </c>
      <c r="CY128" s="63">
        <f t="shared" si="158"/>
        <v>3438802</v>
      </c>
      <c r="CZ128" s="63">
        <f t="shared" si="158"/>
        <v>251084882</v>
      </c>
      <c r="DA128" s="63">
        <f t="shared" si="158"/>
        <v>0</v>
      </c>
      <c r="DB128" s="63">
        <f t="shared" si="158"/>
        <v>140319673</v>
      </c>
      <c r="DC128" s="63">
        <f t="shared" si="158"/>
        <v>12251643</v>
      </c>
      <c r="DD128" s="63">
        <f t="shared" si="158"/>
        <v>0</v>
      </c>
      <c r="DE128" s="63">
        <f t="shared" si="158"/>
        <v>0</v>
      </c>
      <c r="DF128" s="63">
        <f t="shared" si="158"/>
        <v>0</v>
      </c>
      <c r="DG128" s="63">
        <f t="shared" si="158"/>
        <v>2270948941</v>
      </c>
      <c r="DH128" s="63">
        <f t="shared" si="158"/>
        <v>0</v>
      </c>
      <c r="DI128" s="63">
        <f t="shared" si="158"/>
        <v>442929507</v>
      </c>
    </row>
    <row r="129" spans="3:113" ht="5.25" customHeight="1" thickTop="1" x14ac:dyDescent="0.25">
      <c r="C129" s="101"/>
      <c r="D129" s="101"/>
      <c r="E129" s="101"/>
      <c r="F129" s="101"/>
      <c r="G129" s="102"/>
      <c r="H129" s="102"/>
      <c r="I129" s="103"/>
      <c r="J129" s="102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B129" s="105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105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105"/>
      <c r="BT129" s="106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105"/>
      <c r="CP129" s="51"/>
      <c r="CQ129" s="51"/>
      <c r="CR129" s="51"/>
      <c r="CS129" s="51"/>
      <c r="CT129" s="51"/>
      <c r="CU129" s="51"/>
      <c r="CV129" s="51"/>
      <c r="CW129" s="51"/>
      <c r="CX129" s="51"/>
      <c r="CY129" s="51"/>
      <c r="CZ129" s="51"/>
      <c r="DA129" s="51"/>
      <c r="DB129" s="51"/>
      <c r="DC129" s="51"/>
      <c r="DD129" s="51"/>
      <c r="DE129" s="51"/>
      <c r="DF129" s="51"/>
      <c r="DG129" s="51"/>
      <c r="DH129" s="51"/>
      <c r="DI129" s="51"/>
    </row>
    <row r="130" spans="3:113" ht="19.5" customHeight="1" x14ac:dyDescent="0.25">
      <c r="C130" s="210" t="s">
        <v>361</v>
      </c>
      <c r="D130" s="211"/>
      <c r="E130" s="212"/>
      <c r="F130" s="107"/>
      <c r="G130" s="51">
        <f t="shared" ref="G130:Z130" si="159">G20+G58+G91+G108+G128</f>
        <v>22714371004</v>
      </c>
      <c r="H130" s="51">
        <f t="shared" si="159"/>
        <v>200000000</v>
      </c>
      <c r="I130" s="51">
        <f t="shared" si="159"/>
        <v>8727003733</v>
      </c>
      <c r="J130" s="51">
        <f t="shared" si="159"/>
        <v>171003327</v>
      </c>
      <c r="K130" s="51">
        <f t="shared" si="159"/>
        <v>2601016897</v>
      </c>
      <c r="L130" s="51">
        <f t="shared" si="159"/>
        <v>138372986</v>
      </c>
      <c r="M130" s="51">
        <f t="shared" si="159"/>
        <v>54387</v>
      </c>
      <c r="N130" s="51">
        <f t="shared" si="159"/>
        <v>30665828</v>
      </c>
      <c r="O130" s="51">
        <f t="shared" si="159"/>
        <v>1940856</v>
      </c>
      <c r="P130" s="51">
        <f t="shared" si="159"/>
        <v>3438802</v>
      </c>
      <c r="Q130" s="51">
        <f t="shared" si="159"/>
        <v>345941457</v>
      </c>
      <c r="R130" s="51">
        <f t="shared" si="159"/>
        <v>2046332849</v>
      </c>
      <c r="S130" s="51">
        <f t="shared" si="159"/>
        <v>1142029623</v>
      </c>
      <c r="T130" s="51">
        <f t="shared" si="159"/>
        <v>486796640</v>
      </c>
      <c r="U130" s="51">
        <f t="shared" si="159"/>
        <v>1158018872</v>
      </c>
      <c r="V130" s="51">
        <f t="shared" si="159"/>
        <v>1262551657</v>
      </c>
      <c r="W130" s="51">
        <f t="shared" si="159"/>
        <v>51295383</v>
      </c>
      <c r="X130" s="51">
        <f t="shared" si="159"/>
        <v>2700000000</v>
      </c>
      <c r="Y130" s="51">
        <f t="shared" si="159"/>
        <v>204741836</v>
      </c>
      <c r="Z130" s="51">
        <f t="shared" si="159"/>
        <v>1443165871</v>
      </c>
      <c r="AB130" s="108">
        <f>+AC130/G130</f>
        <v>0.79680540107462272</v>
      </c>
      <c r="AC130" s="51">
        <f>AC20+AC58+AC91+AC108+AC128</f>
        <v>18098933498</v>
      </c>
      <c r="AD130" s="51"/>
      <c r="AE130" s="51">
        <f t="shared" ref="AE130:AW130" si="160">AE20+AE58+AE91+AE108+AE128</f>
        <v>200000000</v>
      </c>
      <c r="AF130" s="51">
        <f t="shared" si="160"/>
        <v>6455421194</v>
      </c>
      <c r="AG130" s="51">
        <f t="shared" si="160"/>
        <v>52484687</v>
      </c>
      <c r="AH130" s="51">
        <f t="shared" si="160"/>
        <v>2256942040</v>
      </c>
      <c r="AI130" s="51">
        <f t="shared" si="160"/>
        <v>106280280</v>
      </c>
      <c r="AJ130" s="51">
        <f t="shared" si="160"/>
        <v>0</v>
      </c>
      <c r="AK130" s="51">
        <f t="shared" si="160"/>
        <v>0</v>
      </c>
      <c r="AL130" s="51">
        <f t="shared" si="160"/>
        <v>0</v>
      </c>
      <c r="AM130" s="51">
        <f t="shared" si="160"/>
        <v>0</v>
      </c>
      <c r="AN130" s="51">
        <f t="shared" si="160"/>
        <v>164856575</v>
      </c>
      <c r="AO130" s="51">
        <f t="shared" si="160"/>
        <v>1950159311</v>
      </c>
      <c r="AP130" s="51">
        <f t="shared" si="160"/>
        <v>838849102</v>
      </c>
      <c r="AQ130" s="51">
        <f t="shared" si="160"/>
        <v>486796640</v>
      </c>
      <c r="AR130" s="51">
        <f t="shared" si="160"/>
        <v>879499391</v>
      </c>
      <c r="AS130" s="51">
        <f t="shared" si="160"/>
        <v>1011320055</v>
      </c>
      <c r="AT130" s="51">
        <f t="shared" si="160"/>
        <v>51295383</v>
      </c>
      <c r="AU130" s="51">
        <f t="shared" si="160"/>
        <v>2700000000</v>
      </c>
      <c r="AV130" s="51">
        <f t="shared" si="160"/>
        <v>114321836</v>
      </c>
      <c r="AW130" s="51">
        <f t="shared" si="160"/>
        <v>830707004</v>
      </c>
      <c r="AX130" s="109">
        <f>1-AB130</f>
        <v>0.20319459892537728</v>
      </c>
      <c r="AY130" s="51">
        <f t="shared" ref="AY130:BR130" si="161">AY20+AY58+AY91+AY108+AY128</f>
        <v>4615437506</v>
      </c>
      <c r="AZ130" s="51">
        <f t="shared" si="161"/>
        <v>0</v>
      </c>
      <c r="BA130" s="51">
        <f t="shared" si="161"/>
        <v>2271582539</v>
      </c>
      <c r="BB130" s="51">
        <f t="shared" si="161"/>
        <v>118518640</v>
      </c>
      <c r="BC130" s="51">
        <f t="shared" si="161"/>
        <v>344074857</v>
      </c>
      <c r="BD130" s="51">
        <f t="shared" si="161"/>
        <v>32092706</v>
      </c>
      <c r="BE130" s="51">
        <f t="shared" si="161"/>
        <v>54387</v>
      </c>
      <c r="BF130" s="51">
        <f t="shared" si="161"/>
        <v>30665828</v>
      </c>
      <c r="BG130" s="51">
        <f t="shared" si="161"/>
        <v>1940856</v>
      </c>
      <c r="BH130" s="51">
        <f t="shared" si="161"/>
        <v>3438802</v>
      </c>
      <c r="BI130" s="51">
        <f t="shared" si="161"/>
        <v>181084882</v>
      </c>
      <c r="BJ130" s="51">
        <f t="shared" si="161"/>
        <v>96173538</v>
      </c>
      <c r="BK130" s="51">
        <f t="shared" si="161"/>
        <v>303180521</v>
      </c>
      <c r="BL130" s="51">
        <f t="shared" si="161"/>
        <v>0</v>
      </c>
      <c r="BM130" s="51">
        <f t="shared" si="161"/>
        <v>278519481</v>
      </c>
      <c r="BN130" s="51">
        <f t="shared" si="161"/>
        <v>251231602</v>
      </c>
      <c r="BO130" s="51">
        <f t="shared" si="161"/>
        <v>0</v>
      </c>
      <c r="BP130" s="51">
        <f t="shared" si="161"/>
        <v>0</v>
      </c>
      <c r="BQ130" s="51">
        <f t="shared" si="161"/>
        <v>90420000</v>
      </c>
      <c r="BR130" s="51">
        <f t="shared" si="161"/>
        <v>612458867</v>
      </c>
      <c r="BS130" s="109">
        <f>+BT130/G130</f>
        <v>0.54619201398159922</v>
      </c>
      <c r="BT130" s="51">
        <f t="shared" ref="BT130:CN130" si="162">BT20+BT58+BT91+BT108+BT128</f>
        <v>12406408045</v>
      </c>
      <c r="BU130" s="51">
        <f t="shared" si="162"/>
        <v>0</v>
      </c>
      <c r="BV130" s="51">
        <f t="shared" si="162"/>
        <v>198408143</v>
      </c>
      <c r="BW130" s="51">
        <f t="shared" si="162"/>
        <v>4477466626</v>
      </c>
      <c r="BX130" s="51">
        <f t="shared" si="162"/>
        <v>45348340</v>
      </c>
      <c r="BY130" s="51">
        <f t="shared" si="162"/>
        <v>2020133184</v>
      </c>
      <c r="BZ130" s="51">
        <f t="shared" si="162"/>
        <v>98718903</v>
      </c>
      <c r="CA130" s="51">
        <f t="shared" si="162"/>
        <v>0</v>
      </c>
      <c r="CB130" s="51">
        <f t="shared" si="162"/>
        <v>0</v>
      </c>
      <c r="CC130" s="51">
        <f t="shared" si="162"/>
        <v>0</v>
      </c>
      <c r="CD130" s="51">
        <f t="shared" si="162"/>
        <v>0</v>
      </c>
      <c r="CE130" s="51">
        <f t="shared" si="162"/>
        <v>94856575</v>
      </c>
      <c r="CF130" s="51">
        <f t="shared" si="162"/>
        <v>1270822002</v>
      </c>
      <c r="CG130" s="51">
        <f t="shared" si="162"/>
        <v>801245279</v>
      </c>
      <c r="CH130" s="51">
        <f t="shared" si="162"/>
        <v>474544997</v>
      </c>
      <c r="CI130" s="51">
        <f t="shared" si="162"/>
        <v>813501862</v>
      </c>
      <c r="CJ130" s="51">
        <f t="shared" si="162"/>
        <v>925219270</v>
      </c>
      <c r="CK130" s="51">
        <f t="shared" si="162"/>
        <v>0</v>
      </c>
      <c r="CL130" s="51">
        <f t="shared" si="162"/>
        <v>429051059</v>
      </c>
      <c r="CM130" s="51">
        <f t="shared" si="162"/>
        <v>23350298</v>
      </c>
      <c r="CN130" s="51">
        <f t="shared" si="162"/>
        <v>733741507</v>
      </c>
      <c r="CO130" s="27">
        <f>1-BS130</f>
        <v>0.45380798601840078</v>
      </c>
      <c r="CP130" s="51">
        <f t="shared" ref="CP130:DI130" si="163">CP20+CP58+CP91+CP108+CP128</f>
        <v>10307962959</v>
      </c>
      <c r="CQ130" s="51">
        <f t="shared" si="163"/>
        <v>1591857</v>
      </c>
      <c r="CR130" s="51">
        <f t="shared" si="163"/>
        <v>4249537107</v>
      </c>
      <c r="CS130" s="51">
        <f t="shared" si="163"/>
        <v>125654987</v>
      </c>
      <c r="CT130" s="51">
        <f t="shared" si="163"/>
        <v>580883713</v>
      </c>
      <c r="CU130" s="51">
        <f t="shared" si="163"/>
        <v>39654083</v>
      </c>
      <c r="CV130" s="51">
        <f t="shared" si="163"/>
        <v>54387</v>
      </c>
      <c r="CW130" s="51">
        <f t="shared" si="163"/>
        <v>30665828</v>
      </c>
      <c r="CX130" s="51">
        <f t="shared" si="163"/>
        <v>1940856</v>
      </c>
      <c r="CY130" s="51">
        <f t="shared" si="163"/>
        <v>3438802</v>
      </c>
      <c r="CZ130" s="51">
        <f t="shared" si="163"/>
        <v>251084882</v>
      </c>
      <c r="DA130" s="51">
        <f t="shared" si="163"/>
        <v>775510847</v>
      </c>
      <c r="DB130" s="51">
        <f t="shared" si="163"/>
        <v>340784344</v>
      </c>
      <c r="DC130" s="51">
        <f t="shared" si="163"/>
        <v>12251643</v>
      </c>
      <c r="DD130" s="51">
        <f t="shared" si="163"/>
        <v>344517010</v>
      </c>
      <c r="DE130" s="51">
        <f t="shared" si="163"/>
        <v>337332387</v>
      </c>
      <c r="DF130" s="51">
        <f t="shared" si="163"/>
        <v>51295383</v>
      </c>
      <c r="DG130" s="51">
        <f t="shared" si="163"/>
        <v>2270948941</v>
      </c>
      <c r="DH130" s="51">
        <f t="shared" si="163"/>
        <v>181391538</v>
      </c>
      <c r="DI130" s="51">
        <f t="shared" si="163"/>
        <v>709424364</v>
      </c>
    </row>
    <row r="131" spans="3:113" ht="5.25" customHeight="1" x14ac:dyDescent="0.25">
      <c r="C131" s="110"/>
      <c r="D131" s="110"/>
      <c r="E131" s="111"/>
      <c r="F131" s="111"/>
      <c r="G131" s="112"/>
      <c r="H131" s="112"/>
      <c r="I131" s="113"/>
      <c r="J131" s="112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B131" s="115"/>
      <c r="AC131" s="116"/>
      <c r="AD131" s="116"/>
      <c r="AE131" s="116"/>
      <c r="AF131" s="116"/>
      <c r="AG131" s="116"/>
      <c r="AH131" s="114"/>
      <c r="AI131" s="114"/>
      <c r="AJ131" s="114"/>
      <c r="AK131" s="114"/>
      <c r="AL131" s="114"/>
      <c r="AM131" s="114"/>
      <c r="AN131" s="114"/>
      <c r="AO131" s="114"/>
      <c r="AP131" s="114"/>
      <c r="AQ131" s="114"/>
      <c r="AR131" s="114"/>
      <c r="AS131" s="114"/>
      <c r="AT131" s="114"/>
      <c r="AU131" s="114"/>
      <c r="AV131" s="114"/>
      <c r="AW131" s="114"/>
      <c r="AX131" s="115"/>
      <c r="AY131" s="116"/>
      <c r="AZ131" s="116"/>
      <c r="BA131" s="116"/>
      <c r="BB131" s="116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5"/>
      <c r="BT131" s="118"/>
      <c r="BU131" s="119"/>
      <c r="BV131" s="119"/>
      <c r="BW131" s="119"/>
      <c r="BX131" s="119"/>
      <c r="BY131" s="114"/>
      <c r="BZ131" s="114"/>
      <c r="CA131" s="114"/>
      <c r="CB131" s="114"/>
      <c r="CC131" s="114"/>
      <c r="CD131" s="114"/>
      <c r="CE131" s="114"/>
      <c r="CF131" s="114"/>
      <c r="CG131" s="114"/>
      <c r="CH131" s="114"/>
      <c r="CI131" s="114"/>
      <c r="CJ131" s="114"/>
      <c r="CK131" s="114"/>
      <c r="CL131" s="114"/>
      <c r="CM131" s="114"/>
      <c r="CN131" s="114"/>
      <c r="CO131" s="27"/>
      <c r="CP131" s="120"/>
      <c r="CQ131" s="116"/>
      <c r="CR131" s="116"/>
      <c r="CS131" s="116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</row>
    <row r="132" spans="3:113" ht="16.5" customHeight="1" x14ac:dyDescent="0.25">
      <c r="C132" s="121"/>
      <c r="D132" s="122" t="s">
        <v>362</v>
      </c>
      <c r="E132" s="115">
        <v>111</v>
      </c>
      <c r="F132" s="123"/>
      <c r="G132" s="124">
        <f>SUMIF($E$4:$E$127,"111",$G$4:$G$127)</f>
        <v>4089098901</v>
      </c>
      <c r="H132" s="125">
        <f>SUMIF($E$4:$E$128,"111",$H$4:$H$128)</f>
        <v>0</v>
      </c>
      <c r="I132" s="125">
        <f>SUMIF($E$4:$E$128,"111",$I$4:$I$128)</f>
        <v>3297003733</v>
      </c>
      <c r="J132" s="124">
        <f>SUMIF($E$4:$E$127,"111",$J$4:$J$127)</f>
        <v>171003327</v>
      </c>
      <c r="K132" s="123">
        <f>SUMIF($E$4:$E$128,"111",$K$4:$K$128)</f>
        <v>0</v>
      </c>
      <c r="L132" s="123">
        <f>SUMIF($E$4:$E$127,"111",$L$4:$L$127)</f>
        <v>0</v>
      </c>
      <c r="M132" s="123">
        <f>SUMIF($E$4:$E$127,"111",$M$4:$M$127)</f>
        <v>54387</v>
      </c>
      <c r="N132" s="123">
        <f>SUMIF($E$4:$E$127,"111",$N$4:$N$127)</f>
        <v>30665828</v>
      </c>
      <c r="O132" s="123">
        <f>SUMIF($E$4:$E$127,"111",$O$4:$O$127)</f>
        <v>1940856</v>
      </c>
      <c r="P132" s="123">
        <f>SUMIF($E$4:$E$127,"111",$P$4:$P$127)</f>
        <v>3438802</v>
      </c>
      <c r="Q132" s="123">
        <f>SUMIF($E$4:$E$127,"111",$Q$4:$Q$127)</f>
        <v>250509069</v>
      </c>
      <c r="R132" s="123">
        <f>SUMIF($E$4:$E$127,"111",$R$4:$R$127)</f>
        <v>0</v>
      </c>
      <c r="S132" s="123">
        <f>SUMIF($E$4:$E$127,"111",$S$4:$S$127)</f>
        <v>0</v>
      </c>
      <c r="T132" s="123">
        <f>SUMIF($E$4:$E$127,"111",$T$4:$T$127)</f>
        <v>0</v>
      </c>
      <c r="U132" s="123">
        <f>SUMIF($E$4:$E$127,"111",$U$4:$U$127)</f>
        <v>0</v>
      </c>
      <c r="V132" s="123">
        <f>SUMIF($E$4:$E$127,"111",$V$4:$V$127)</f>
        <v>0</v>
      </c>
      <c r="W132" s="123"/>
      <c r="X132" s="123">
        <f>SUMIF($E$4:$E$127,"111",$X$4:$X$127)</f>
        <v>0</v>
      </c>
      <c r="Y132" s="123">
        <f>SUMIF($E$4:$E$127,"111",$Y$4:$Y$127)</f>
        <v>0</v>
      </c>
      <c r="Z132" s="123">
        <f>SUMIF($E$4:$E$127,"111",$Z$4:$Z$127)</f>
        <v>334482899</v>
      </c>
      <c r="AB132" s="126">
        <f t="shared" ref="AB132:AB141" si="164">+AC132/G132</f>
        <v>0.60382971377781303</v>
      </c>
      <c r="AC132" s="30">
        <f t="shared" ref="AC132:AC138" si="165">SUM(AE132:AW132)</f>
        <v>2469119419</v>
      </c>
      <c r="AD132" s="124">
        <f>SUMIF($E$4:$E$127,"111",$AD$4:$AD$127)</f>
        <v>0</v>
      </c>
      <c r="AE132" s="124">
        <f>SUMIF($E$4:$E$127,"111",$AE$4:$AE$127)</f>
        <v>0</v>
      </c>
      <c r="AF132" s="124">
        <f>SUMIF($E$4:$E$127,"111",$AF$4:$AF$127)</f>
        <v>2322105290</v>
      </c>
      <c r="AG132" s="124">
        <f>SUMIF($E$4:$E$127,"111",$AG$4:$AG$127)</f>
        <v>52484687</v>
      </c>
      <c r="AH132" s="124">
        <f>SUMIF($E$4:$E$127,"111",$AH$4:$AH$127)</f>
        <v>0</v>
      </c>
      <c r="AI132" s="124">
        <f>SUMIF($E$4:$E$127,"111",$AI$4:$AI$127)</f>
        <v>0</v>
      </c>
      <c r="AJ132" s="124">
        <f>SUMIF($E$4:$E$127,"111",$AJ$4:$AJ$127)</f>
        <v>0</v>
      </c>
      <c r="AK132" s="124">
        <f>SUMIF($E$4:$E$127,"111",$AK$4:$AK$127)</f>
        <v>0</v>
      </c>
      <c r="AL132" s="124">
        <f>SUMIF($E$4:$E$127,"111",$AL$4:$AL$127)</f>
        <v>0</v>
      </c>
      <c r="AM132" s="124">
        <f>SUMIF($E$4:$E$127,"111",$AM$4:$AM$127)</f>
        <v>0</v>
      </c>
      <c r="AN132" s="124">
        <f>SUMIF($E$4:$E$127,"111",$AN$4:$AN$127)</f>
        <v>79856575</v>
      </c>
      <c r="AO132" s="124">
        <f>SUMIF($E$4:$E$127,"111",$AO$4:$AO$127)</f>
        <v>0</v>
      </c>
      <c r="AP132" s="124">
        <f>SUMIF($E$4:$E$127,"111",$AP$4:$AP$127)</f>
        <v>0</v>
      </c>
      <c r="AQ132" s="124">
        <f>SUMIF($E$4:$E$127,"111",$AQ$4:$AQ$127)</f>
        <v>0</v>
      </c>
      <c r="AR132" s="124">
        <f>SUMIF($E$4:$E$127,"111",$AR$4:$AR$127)</f>
        <v>0</v>
      </c>
      <c r="AS132" s="124">
        <f>SUMIF($E$4:$E$127,"111",$AR$4:$AR$127)</f>
        <v>0</v>
      </c>
      <c r="AT132" s="124">
        <f>SUMIF($E$4:$E$127,"111",$AT$4:$AT$127)</f>
        <v>0</v>
      </c>
      <c r="AU132" s="124">
        <f>SUMIF($E$4:$E$127,"111",$AU$4:$AU$127)</f>
        <v>0</v>
      </c>
      <c r="AV132" s="124">
        <f>SUMIF($E$4:$E$127,"111",$AV$4:$AV$127)</f>
        <v>0</v>
      </c>
      <c r="AW132" s="124">
        <f>SUMIF($E$4:$E$127,"111",$AW$4:$AW$127)</f>
        <v>14672867</v>
      </c>
      <c r="AX132" s="109">
        <f t="shared" ref="AX132:AX141" si="166">1-AB132</f>
        <v>0.39617028622218697</v>
      </c>
      <c r="AY132" s="30">
        <f t="shared" ref="AY132:AY138" si="167">SUM(AZ132:BR132)</f>
        <v>1619979482</v>
      </c>
      <c r="AZ132" s="127">
        <f>SUMIF($E$4:$E$127,"111",$AZ$4:$AZ$127)</f>
        <v>0</v>
      </c>
      <c r="BA132" s="127">
        <f>SUMIF($E$4:$E$127,"111",$BA$4:$BA$127)</f>
        <v>974898443</v>
      </c>
      <c r="BB132" s="127">
        <f>SUMIF($E$4:$E$127,"111",$BB$4:$BB$127)</f>
        <v>118518640</v>
      </c>
      <c r="BC132" s="127">
        <f>SUMIF($E$4:$E$127,"111",$BC$4:$BC$127)</f>
        <v>0</v>
      </c>
      <c r="BD132" s="127">
        <f>SUMIF($E$4:$E$127,"111",$BD$4:$BD$127)</f>
        <v>0</v>
      </c>
      <c r="BE132" s="127">
        <f>SUMIF($E$4:$E$127,"111",$BE$4:$BE$127)</f>
        <v>54387</v>
      </c>
      <c r="BF132" s="127">
        <f>SUMIF($E$4:$E$128,"111",$BF$4:$BF$128)</f>
        <v>30665828</v>
      </c>
      <c r="BG132" s="127">
        <f>SUMIF($E$4:$E$127,"111",$BG$4:$BG$127)</f>
        <v>1940856</v>
      </c>
      <c r="BH132" s="127">
        <f>SUMIF($E$4:$E$127,"111",$BH$4:$BH$127)</f>
        <v>3438802</v>
      </c>
      <c r="BI132" s="127">
        <f>SUMIF($E$4:$E$127,"111",$BI$4:$BI$127)</f>
        <v>170652494</v>
      </c>
      <c r="BJ132" s="127">
        <f>SUMIF($E$4:$E$127,"111",$BJ$4:$BJ$127)</f>
        <v>0</v>
      </c>
      <c r="BK132" s="127">
        <f>SUMIF($E$4:$E$127,"111",$BK$4:$BK$127)</f>
        <v>0</v>
      </c>
      <c r="BL132" s="127">
        <f>SUMIF($E$4:$E$127,"111",$BL$4:$BL$127)</f>
        <v>0</v>
      </c>
      <c r="BM132" s="127">
        <f>SUMIF($E$4:$E$127,"111",$BM$4:$BM$127)</f>
        <v>0</v>
      </c>
      <c r="BN132" s="127">
        <f>SUMIF($E$4:$E$127,"111",$BN$4:$BN$127)</f>
        <v>0</v>
      </c>
      <c r="BO132" s="127"/>
      <c r="BP132" s="127">
        <f>SUMIF($E$4:$E$127,"111",$BP$4:$BP$127)</f>
        <v>0</v>
      </c>
      <c r="BQ132" s="127">
        <f>SUMIF($E$4:$E$127,"111",$BQ$4:$BQ$127)</f>
        <v>0</v>
      </c>
      <c r="BR132" s="128">
        <f>SUMIF($E$4:$E$127,"111",$BR$4:$BR$127)</f>
        <v>319810032</v>
      </c>
      <c r="BS132" s="129">
        <f t="shared" ref="BS132:BS141" si="168">+BT132/G132</f>
        <v>0.5146211598074526</v>
      </c>
      <c r="BT132" s="36">
        <f t="shared" ref="BT132:BT137" si="169">SUM(BV132:CN132)</f>
        <v>2104336819</v>
      </c>
      <c r="BU132" s="124">
        <f>SUMIF($E$4:$E$127,"111",$BU$4:$BU$127)</f>
        <v>0</v>
      </c>
      <c r="BV132" s="124">
        <f>SUMIF($E$4:$E$127,"111",$BV$4:$BV$127)</f>
        <v>0</v>
      </c>
      <c r="BW132" s="124">
        <f>SUMIF($E$4:$E$127,"111",$BW$4:$BW$127)</f>
        <v>1964459137</v>
      </c>
      <c r="BX132" s="124">
        <f>SUMIF($E$4:$E$127,"111",$BX$4:$BX$127)</f>
        <v>45348340</v>
      </c>
      <c r="BY132" s="124">
        <f>SUMIF($E$4:$E$127,"111",$BY$4:$BY$127)</f>
        <v>0</v>
      </c>
      <c r="BZ132" s="124">
        <f>SUMIF($E$4:$E$127,"111",$BZ$4:$BZ$127)</f>
        <v>0</v>
      </c>
      <c r="CA132" s="124">
        <f>SUMIF($E$4:$E$127,"111",$CA$4:$CA$127)</f>
        <v>0</v>
      </c>
      <c r="CB132" s="124">
        <f>SUMIF($E$4:$E$127,"111",$CB$4:$CB$127)</f>
        <v>0</v>
      </c>
      <c r="CC132" s="124">
        <f>SUMIF($E$4:$E$127,"111",$CC$4:$CC$127)</f>
        <v>0</v>
      </c>
      <c r="CD132" s="124">
        <f>SUMIF($E$4:$E$127,"111",$CD$4:$CD$127)</f>
        <v>0</v>
      </c>
      <c r="CE132" s="124">
        <f>SUMIF($E$4:$E$127,"111",$CE$4:$CE$127)</f>
        <v>79856575</v>
      </c>
      <c r="CF132" s="124">
        <f>SUMIF($E$4:$E$127,"111",$CF$4:$CF$127)</f>
        <v>0</v>
      </c>
      <c r="CG132" s="124">
        <f>SUMIF($E$4:$E$127,"111",$CG$4:$CG$127)</f>
        <v>0</v>
      </c>
      <c r="CH132" s="124">
        <f>SUMIF($E$4:$E$127,"111",$CH$4:$CH$127)</f>
        <v>0</v>
      </c>
      <c r="CI132" s="124">
        <f>SUMIF($E$4:$E$127,"111",$CI$4:$CI$127)</f>
        <v>0</v>
      </c>
      <c r="CJ132" s="124">
        <f>SUMIF($E$4:$E$127,"111",$CJ$4:$CJ$127)</f>
        <v>0</v>
      </c>
      <c r="CK132" s="124">
        <f>SUMIF($E$4:$E$127,"111",$CK$4:$CK$127)</f>
        <v>0</v>
      </c>
      <c r="CL132" s="124">
        <f>SUMIF($E$4:$E$127,"111",$CL$4:$CL$127)</f>
        <v>0</v>
      </c>
      <c r="CM132" s="124">
        <f>SUMIF($E$4:$E$127,"111",$CM$4:$CM$127)</f>
        <v>0</v>
      </c>
      <c r="CN132" s="130">
        <f>SUMIF($E$4:$E$127,"111",$CN$4:$CN$127)</f>
        <v>14672767</v>
      </c>
      <c r="CO132" s="27">
        <f t="shared" ref="CO132:CO141" si="170">1-BS132</f>
        <v>0.4853788401925474</v>
      </c>
      <c r="CP132" s="30">
        <f t="shared" ref="CP132:CP138" si="171">SUM(CQ132:DI132)</f>
        <v>1984762082</v>
      </c>
      <c r="CQ132" s="127">
        <f>SUMIF($E$4:$E$127,"111",$CQ$4:$CQ$127)</f>
        <v>0</v>
      </c>
      <c r="CR132" s="127">
        <f>SUMIF($E$4:$E$127,"111",$CR$4:$CR$127)</f>
        <v>1332544596</v>
      </c>
      <c r="CS132" s="127">
        <f>SUMIF($E$4:$E$127,"111",$CS$4:$CS$127)</f>
        <v>125654987</v>
      </c>
      <c r="CT132" s="127">
        <f>SUMIF($E$4:$E$127,"111",$CT$4:$CT$127)</f>
        <v>0</v>
      </c>
      <c r="CU132" s="127">
        <f>SUMIF($E$4:$E$127,"111",$CU$4:$CU$127)</f>
        <v>0</v>
      </c>
      <c r="CV132" s="127">
        <f>SUMIF($E$4:$E$127,"111",$CV$4:$CV$127)</f>
        <v>54387</v>
      </c>
      <c r="CW132" s="131">
        <f>SUMIF($E$4:$E$127,"111",$CW$4:$CW$127)</f>
        <v>30665828</v>
      </c>
      <c r="CX132" s="131">
        <f>SUMIF($E$4:$E$127,"111",$CX$4:$CX$127)</f>
        <v>1940856</v>
      </c>
      <c r="CY132" s="131">
        <f>SUMIF($E$4:$E$127,"111",$CY$4:$CY$127)</f>
        <v>3438802</v>
      </c>
      <c r="CZ132" s="131">
        <f>SUMIF($E$4:$E$127,"111",$CZ$4:$CZ$127)</f>
        <v>170652494</v>
      </c>
      <c r="DA132" s="131">
        <f>SUMIF($E$4:$E$127,"111",$DA$4:$DA$127)</f>
        <v>0</v>
      </c>
      <c r="DB132" s="131">
        <f>SUMIF($E$4:$E$127,"111",$DB$4:$DB$127)</f>
        <v>0</v>
      </c>
      <c r="DC132" s="131">
        <f>SUMIF($E$4:$E$127,"111",$DC$4:$DC$127)</f>
        <v>0</v>
      </c>
      <c r="DD132" s="131">
        <f>SUMIF($E$4:$E$127,"111",$DD$4:$DD$127)</f>
        <v>0</v>
      </c>
      <c r="DE132" s="131">
        <f>SUMIF($E$4:$E$127,"111",$DE$4:$DE$127)</f>
        <v>0</v>
      </c>
      <c r="DF132" s="131">
        <f>SUMIF($E$4:$E$127,"111",$DF$4:$DF$127)</f>
        <v>0</v>
      </c>
      <c r="DG132" s="131">
        <f>SUMIF($E$4:$E$127,"111",$DG$4:$DG$127)</f>
        <v>0</v>
      </c>
      <c r="DH132" s="131">
        <f>SUMIF($E$4:$E$127,"111",$DH$4:$DH$127)</f>
        <v>0</v>
      </c>
      <c r="DI132" s="131">
        <f>SUMIF($E$4:$E$127,"111",$DI$4:$DI$127)</f>
        <v>319810132</v>
      </c>
    </row>
    <row r="133" spans="3:113" ht="18" customHeight="1" x14ac:dyDescent="0.25">
      <c r="C133" s="132"/>
      <c r="D133" s="122" t="s">
        <v>363</v>
      </c>
      <c r="E133" s="115">
        <v>211</v>
      </c>
      <c r="F133" s="123"/>
      <c r="G133" s="124">
        <f>SUMIF($E$4:$E$127,"211",$G$4:$G$127)</f>
        <v>3820094278</v>
      </c>
      <c r="H133" s="125">
        <f>SUMIF($E$4:$E$128,"211",$H$4:$H$128)</f>
        <v>0</v>
      </c>
      <c r="I133" s="125">
        <f>SUMIF($E$4:$E$128,"211",$I$4:$I$128)</f>
        <v>3148735209</v>
      </c>
      <c r="J133" s="124">
        <f>SUMIF($E$4:$E$127,"211",$J$4:$J$127)</f>
        <v>0</v>
      </c>
      <c r="K133" s="123">
        <f>SUMIF($E$4:$E$127,"211",$K$4:$K$127)</f>
        <v>0</v>
      </c>
      <c r="L133" s="123">
        <f>SUMIF($E$4:$E$127,"211",$L$4:$L$127)</f>
        <v>0</v>
      </c>
      <c r="M133" s="123">
        <f>SUMIF($E$4:$E$127,"211",$M$4:$M$127)</f>
        <v>0</v>
      </c>
      <c r="N133" s="123">
        <f>SUMIF($E$4:$E$127,"211",$N$4:$N$127)</f>
        <v>0</v>
      </c>
      <c r="O133" s="123">
        <f>SUMIF($E$4:$E$127,"211",$O$4:$O$127)</f>
        <v>0</v>
      </c>
      <c r="P133" s="123">
        <f>SUMIF($E$4:$E$127,"211",$P$4:$P$127)</f>
        <v>0</v>
      </c>
      <c r="Q133" s="123">
        <f>SUMIF($E$4:$E$127,"211",$Q$4:$Q$127)</f>
        <v>95432388</v>
      </c>
      <c r="R133" s="123">
        <f>SUMIF($E$4:$E$127,"211",$R$4:$R$127)</f>
        <v>0</v>
      </c>
      <c r="S133" s="123">
        <f>SUMIF($E$4:$E$127,"211",$S$4:$S$127)</f>
        <v>380000000</v>
      </c>
      <c r="T133" s="123">
        <f>SUMIF($E$4:$E$127,"211",$T$4:$T$127)</f>
        <v>0</v>
      </c>
      <c r="U133" s="123">
        <f>SUMIF($E$4:$E$127,"211",$U$4:$U$127)</f>
        <v>0</v>
      </c>
      <c r="V133" s="123">
        <f>SUMIF($E$4:$E$127,"211",$V$4:$V$127)</f>
        <v>0</v>
      </c>
      <c r="W133" s="123"/>
      <c r="X133" s="123">
        <f>SUMIF($E$4:$E$127,"211",$X$4:$X$127)</f>
        <v>0</v>
      </c>
      <c r="Y133" s="123">
        <f>SUMIF($E$4:$E$127,"211",$Y$4:$Y$127)</f>
        <v>0</v>
      </c>
      <c r="Z133" s="123">
        <f>SUMIF($E$4:$E$127,"211",$Z$4:$Z$127)</f>
        <v>195926681</v>
      </c>
      <c r="AB133" s="126">
        <f t="shared" si="164"/>
        <v>0.70169821133403976</v>
      </c>
      <c r="AC133" s="30">
        <f t="shared" si="165"/>
        <v>2680553322</v>
      </c>
      <c r="AD133" s="124">
        <f>SUMIF($E$4:$E$127,"211",$AD$4:$AD$127)</f>
        <v>0</v>
      </c>
      <c r="AE133" s="124">
        <f>SUMIF($E$4:$E$127,"211",$AE$4:$AE$127)</f>
        <v>0</v>
      </c>
      <c r="AF133" s="124">
        <f>SUMIF($E$4:$E$127,"211",$AF$4:$AF$127)</f>
        <v>2244019754</v>
      </c>
      <c r="AG133" s="124">
        <f>SUMIF($E$4:$E$127,"211",$AG$4:$AG$127)</f>
        <v>0</v>
      </c>
      <c r="AH133" s="124">
        <f>SUMIF($E$4:$E$127,"211",$AH$4:$AH$127)</f>
        <v>0</v>
      </c>
      <c r="AI133" s="124">
        <f>SUMIF($E$4:$E$127,"211",$AI$4:$AI$127)</f>
        <v>0</v>
      </c>
      <c r="AJ133" s="124">
        <f>SUMIF($E$4:$E$127,"211",$AJ$4:$AJ$127)</f>
        <v>0</v>
      </c>
      <c r="AK133" s="124">
        <f>SUMIF($E$4:$E$127,"211",$AK$4:$AK$127)</f>
        <v>0</v>
      </c>
      <c r="AL133" s="124">
        <f>SUMIF($E$4:$E$127,"211",$AL$4:$AL$127)</f>
        <v>0</v>
      </c>
      <c r="AM133" s="124">
        <f>SUMIF($E$4:$E$127,"211",$AM$4:$AM$127)</f>
        <v>0</v>
      </c>
      <c r="AN133" s="124">
        <f>SUMIF($E$4:$E$127,"211",$AN$4:$AN$127)</f>
        <v>85000000</v>
      </c>
      <c r="AO133" s="124">
        <f>SUMIF($E$4:$E$127,"211",$AO$4:$AO$127)</f>
        <v>0</v>
      </c>
      <c r="AP133" s="124">
        <f>SUMIF($E$4:$E$127,"211",$AP$4:$AP$127)</f>
        <v>250000000</v>
      </c>
      <c r="AQ133" s="124">
        <f>SUMIF($E$4:$E$127,"211",$AQ$4:$AQ$127)</f>
        <v>0</v>
      </c>
      <c r="AR133" s="124">
        <f>SUMIF($E$4:$E$127,"211",$AR$4:$AR$127)</f>
        <v>0</v>
      </c>
      <c r="AS133" s="124">
        <f>SUMIF($E$4:$E$127,"211",$AS$4:$AS$127)</f>
        <v>0</v>
      </c>
      <c r="AT133" s="124">
        <f>SUMIF($E$4:$E$127,"211",$AT$4:$AT$127)</f>
        <v>0</v>
      </c>
      <c r="AU133" s="124">
        <f>SUMIF($E$4:$E$127,"211",$AU$4:$AU$127)</f>
        <v>0</v>
      </c>
      <c r="AV133" s="124">
        <f>SUMIF($E$4:$E$127,"211",$AV$4:$AV$127)</f>
        <v>0</v>
      </c>
      <c r="AW133" s="124">
        <f>SUMIF($E$4:$E$127,"211",$AW$4:$AW$127)</f>
        <v>101533568</v>
      </c>
      <c r="AX133" s="109">
        <f t="shared" si="166"/>
        <v>0.29830178866596024</v>
      </c>
      <c r="AY133" s="30">
        <f t="shared" si="167"/>
        <v>1139540956</v>
      </c>
      <c r="AZ133" s="127">
        <f>SUMIF($E$4:$E$127,"211",$AZ$4:$AZ$127)</f>
        <v>0</v>
      </c>
      <c r="BA133" s="127">
        <f>SUMIF($E$4:$E$127,"211",$BA$4:$BA$127)</f>
        <v>904715455</v>
      </c>
      <c r="BB133" s="127">
        <f>SUMIF($E$4:$E$127,"211",$BB$4:$BB$127)</f>
        <v>0</v>
      </c>
      <c r="BC133" s="127">
        <f>SUMIF($E$4:$E$127,"211",$BC$4:$BC$127)</f>
        <v>0</v>
      </c>
      <c r="BD133" s="127">
        <f>SUMIF($E$4:$E$127,"211",$BD$4:$BD$127)</f>
        <v>0</v>
      </c>
      <c r="BE133" s="127">
        <f>SUMIF($E$4:$E$127,"211",$BE$4:$BE$127)</f>
        <v>0</v>
      </c>
      <c r="BF133" s="127">
        <f>SUMIF($E$4:$E$127,"211",$BF$4:$BF$127)</f>
        <v>0</v>
      </c>
      <c r="BG133" s="127">
        <f>SUMIF($E$4:$E$127,"211",$BG$4:$BG$127)</f>
        <v>0</v>
      </c>
      <c r="BH133" s="127">
        <f>SUMIF($E$4:$E$127,"211",$BH$4:$BH$127)</f>
        <v>0</v>
      </c>
      <c r="BI133" s="127">
        <f>SUMIF($E$4:$E$127,"211",$BI$4:$BI$127)</f>
        <v>10432388</v>
      </c>
      <c r="BJ133" s="127">
        <f>SUMIF($E$4:$E$127,"211",$BJ$4:$BJ$127)</f>
        <v>0</v>
      </c>
      <c r="BK133" s="127">
        <f>SUMIF($E$4:$E$127,"211",$BK$4:$BK$127)</f>
        <v>130000000</v>
      </c>
      <c r="BL133" s="127">
        <f>SUMIF($E$4:$E$127,"211",$BL$4:$BL$127)</f>
        <v>0</v>
      </c>
      <c r="BM133" s="127">
        <f>SUMIF($E$4:$E$127,"211",$BM$4:$BM$127)</f>
        <v>0</v>
      </c>
      <c r="BN133" s="127">
        <f>SUMIF($E$4:$E$127,"211",$BN$4:$BN$127)</f>
        <v>0</v>
      </c>
      <c r="BO133" s="127"/>
      <c r="BP133" s="127">
        <f>SUMIF($E$4:$E$127,"211",$BP$4:$BP$127)</f>
        <v>0</v>
      </c>
      <c r="BQ133" s="127">
        <f>SUMIF($E$4:$E$127,"211",$BQ$4:$BQ$127)</f>
        <v>0</v>
      </c>
      <c r="BR133" s="128">
        <f>SUMIF($E$4:$E$127,"211",$BR$4:$BR$127)</f>
        <v>94393113</v>
      </c>
      <c r="BS133" s="129">
        <f t="shared" si="168"/>
        <v>0.44656270679610699</v>
      </c>
      <c r="BT133" s="36">
        <f t="shared" si="169"/>
        <v>1705911641</v>
      </c>
      <c r="BU133" s="124">
        <f>SUMIF($E$4:$E$127,"211",$BU$4:$BU$127)</f>
        <v>0</v>
      </c>
      <c r="BV133" s="124">
        <f>SUMIF($E$4:$E$127,"211",$BV$4:$BV$127)</f>
        <v>0</v>
      </c>
      <c r="BW133" s="124">
        <f>SUMIF($E$4:$E$127,"211",$BW$4:$BW$127)</f>
        <v>1346010746</v>
      </c>
      <c r="BX133" s="124">
        <f>SUMIF($E$4:$E$127,"211",$BX$4:$BX$127)</f>
        <v>0</v>
      </c>
      <c r="BY133" s="124">
        <f>SUMIF($E$4:$E$127,"211",$BY$4:$BY$127)</f>
        <v>0</v>
      </c>
      <c r="BZ133" s="124">
        <f>SUMIF($E$4:$E$127,"211",$BZ$4:$BZ$127)</f>
        <v>0</v>
      </c>
      <c r="CA133" s="124">
        <f>SUMIF($E$4:$E$127,"211",$CA$4:$CA$127)</f>
        <v>0</v>
      </c>
      <c r="CB133" s="124">
        <f>SUMIF($E$4:$E$127,"211",$CB$4:$CB$127)</f>
        <v>0</v>
      </c>
      <c r="CC133" s="124">
        <f>SUMIF($E$4:$E$127,"211",$CC$4:$CC$127)</f>
        <v>0</v>
      </c>
      <c r="CD133" s="124">
        <f>SUMIF($E$4:$E$127,"211",$CD$4:$CD$127)</f>
        <v>0</v>
      </c>
      <c r="CE133" s="124">
        <f>SUMIF($E$4:$E$127,"211",$CE$4:$CE$127)</f>
        <v>15000000</v>
      </c>
      <c r="CF133" s="124">
        <f>SUMIF($E$4:$E$127,"211",$CF$4:$CF$127)</f>
        <v>0</v>
      </c>
      <c r="CG133" s="124">
        <f>SUMIF($E$4:$E$127,"211",$CG$4:$CG$127)</f>
        <v>249680327</v>
      </c>
      <c r="CH133" s="124">
        <f>SUMIF($E$4:$E$127,"211",$CH$4:$CH$127)</f>
        <v>0</v>
      </c>
      <c r="CI133" s="124">
        <f>SUMIF($E$4:$E$127,"211",$CI$4:$CI$127)</f>
        <v>0</v>
      </c>
      <c r="CJ133" s="124">
        <f>SUMIF($E$4:$E$127,"211",$CJ$4:$CJ$127)</f>
        <v>0</v>
      </c>
      <c r="CK133" s="124">
        <f>SUMIF($E$4:$E$127,"211",$CK$4:$CK$127)</f>
        <v>0</v>
      </c>
      <c r="CL133" s="124">
        <f>SUMIF($E$4:$E$127,"211",$CL$4:$CL$127)</f>
        <v>0</v>
      </c>
      <c r="CM133" s="124">
        <f>SUMIF($E$4:$E$127,"211",$CM$4:$CM$127)</f>
        <v>0</v>
      </c>
      <c r="CN133" s="130">
        <f>SUMIF($E$4:$E$127,"211",$CN$4:$CN$127)</f>
        <v>95220568</v>
      </c>
      <c r="CO133" s="27">
        <f t="shared" si="170"/>
        <v>0.55343729320389301</v>
      </c>
      <c r="CP133" s="30">
        <f t="shared" ca="1" si="171"/>
        <v>2114182637</v>
      </c>
      <c r="CQ133" s="127">
        <f ca="1">SUMIF($E$4:$E$128,"211",$CQ$4:$CQ$127)</f>
        <v>0</v>
      </c>
      <c r="CR133" s="127">
        <f>SUMIF($E$4:$E$127,"211",$CR$4:$CR$127)</f>
        <v>1802724463</v>
      </c>
      <c r="CS133" s="127">
        <f>SUMIF($E$4:$E$127,"211",$CS$4:$CS$127)</f>
        <v>0</v>
      </c>
      <c r="CT133" s="127">
        <f>SUMIF($E$4:$E$127,"211",$CT$4:$CT$127)</f>
        <v>0</v>
      </c>
      <c r="CU133" s="127">
        <f>SUMIF($E$4:$E$127,"211",$CU$4:$CU$127)</f>
        <v>0</v>
      </c>
      <c r="CV133" s="127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1">
        <f>SUMIF($E$4:$E$127,"211",$CZ$4:$CZ$127)</f>
        <v>80432388</v>
      </c>
      <c r="DA133" s="131">
        <f>SUMIF($E$4:$E$127,"211",$DA$4:$DA$127)</f>
        <v>0</v>
      </c>
      <c r="DB133" s="131">
        <f>SUMIF($E$4:$E$127,"211",$DB$4:$DB$127)</f>
        <v>130319673</v>
      </c>
      <c r="DC133" s="131">
        <f>SUMIF($E$4:$E$127,"211",$DC$4:$DC$127)</f>
        <v>0</v>
      </c>
      <c r="DD133" s="131">
        <f>SUMIF($E$4:$E$127,"211",$DD$4:$DD$127)</f>
        <v>0</v>
      </c>
      <c r="DE133" s="131">
        <f>SUMIF($E$4:$E$127,"211",$DE$4:$DE$127)</f>
        <v>0</v>
      </c>
      <c r="DF133" s="131">
        <f>SUMIF($E$4:$E$127,"211",$DF$4:$DF$127)</f>
        <v>0</v>
      </c>
      <c r="DG133" s="131">
        <f>SUMIF($E$4:$E$127,"211",$DG$4:$DG$127)</f>
        <v>0</v>
      </c>
      <c r="DH133" s="131">
        <f>SUMIF($E$4:$E$127,"211",$DH$4:$DH$127)</f>
        <v>0</v>
      </c>
      <c r="DI133" s="131">
        <f>SUMIF($E$4:$E$127,"211",$DI$4:$DI$127)</f>
        <v>100706113</v>
      </c>
    </row>
    <row r="134" spans="3:113" ht="16.5" customHeight="1" x14ac:dyDescent="0.25">
      <c r="C134" s="132"/>
      <c r="D134" s="122" t="s">
        <v>364</v>
      </c>
      <c r="E134" s="115">
        <v>310</v>
      </c>
      <c r="F134" s="123"/>
      <c r="G134" s="124">
        <f>SUMIF($E$4:$E$127,"310",$G$4:$G$128)</f>
        <v>1084368096</v>
      </c>
      <c r="H134" s="125">
        <f>SUMIF($E$4:$E$127,"310",$H$4:$H$127)</f>
        <v>0</v>
      </c>
      <c r="I134" s="125">
        <f>SUMIF($E$4:$E$127,"310",$I$4:$I$127)</f>
        <v>450000000</v>
      </c>
      <c r="J134" s="124">
        <f>SUMIF($E$4:$E$127,"310",$J$4:$J$127)</f>
        <v>0</v>
      </c>
      <c r="K134" s="123">
        <f>SUMIF($E$4:$E$127,"310",$K$4:$K$127)</f>
        <v>557368096</v>
      </c>
      <c r="L134" s="123">
        <f>SUMIF($E$4:$E$127,"310",$L$4:$L$127)</f>
        <v>0</v>
      </c>
      <c r="M134" s="123">
        <f>SUMIF($E$4:$E$127,"310",$M$4:$M$127)</f>
        <v>0</v>
      </c>
      <c r="N134" s="123">
        <f>SUMIF($E$4:$E$127,"310",$N$4:$N$127)</f>
        <v>0</v>
      </c>
      <c r="O134" s="123">
        <f>SUMIF($E$4:$E$127,"310",$O$4:$O$127)</f>
        <v>0</v>
      </c>
      <c r="P134" s="123">
        <f>SUMIF($E$4:$E$127,"310",$P$4:$P$127)</f>
        <v>0</v>
      </c>
      <c r="Q134" s="123">
        <f>SUMIF($E$4:$E$127,"310",$Q$4:$Q$127)</f>
        <v>0</v>
      </c>
      <c r="R134" s="123">
        <f>SUMIF($E$4:$E$127,"310",$R$4:$R$127)</f>
        <v>0</v>
      </c>
      <c r="S134" s="123">
        <f>SUMIF($E$4:$E$127,"310",$S$4:$S$127)</f>
        <v>0</v>
      </c>
      <c r="T134" s="123">
        <f>SUMIF($E$4:$E$127,"310",$T$4:$T$127)</f>
        <v>0</v>
      </c>
      <c r="U134" s="123">
        <f>SUMIF($E$4:$E$127,"310",$U$4:$U$127)</f>
        <v>0</v>
      </c>
      <c r="V134" s="123">
        <f>SUMIF($E$4:$E$119,"310",$V$4:$V$119)</f>
        <v>0</v>
      </c>
      <c r="W134" s="123"/>
      <c r="X134" s="123">
        <f>SUMIF($E$4:$E$127,"310",$X$4:$X$127)</f>
        <v>0</v>
      </c>
      <c r="Y134" s="123">
        <f>SUMIF($E$4:$E$127,"310",$Y$4:$Y$127)</f>
        <v>0</v>
      </c>
      <c r="Z134" s="123">
        <f>SUMIF($E$4:$E$127,"310",$Z$4:$Z$127)</f>
        <v>77000000</v>
      </c>
      <c r="AB134" s="126">
        <f t="shared" si="164"/>
        <v>0.51814165878963669</v>
      </c>
      <c r="AC134" s="36">
        <f t="shared" si="165"/>
        <v>561856284</v>
      </c>
      <c r="AD134" s="124">
        <f>SUMIF($E$4:$E$127,"310",$AD$4:$AD$127)</f>
        <v>0</v>
      </c>
      <c r="AE134" s="124">
        <f>SUMIF($E$4:$E$127,"310",$AE$4:$AE$127)</f>
        <v>0</v>
      </c>
      <c r="AF134" s="124">
        <f>SUMIF($E$4:$E$127,"310",$AF$4:$AF$127)</f>
        <v>75171597</v>
      </c>
      <c r="AG134" s="124">
        <f>SUMIF($E$4:$E$127,"310",$AG$4:$AG$127)</f>
        <v>0</v>
      </c>
      <c r="AH134" s="124">
        <f>SUMIF($E$4:$E$127,"310",$AH$4:$AH$127)</f>
        <v>461594602</v>
      </c>
      <c r="AI134" s="124">
        <f>SUMIF($E$4:$E$127,"310",$AI$4:$AI$127)</f>
        <v>0</v>
      </c>
      <c r="AJ134" s="124">
        <f>SUMIF($E$4:$E$127,"310",$AJ$4:$AJ$127)</f>
        <v>0</v>
      </c>
      <c r="AK134" s="124">
        <f>SUMIF($E$4:$E$127,"310",$AK$4:$AK$127)</f>
        <v>0</v>
      </c>
      <c r="AL134" s="124">
        <f>SUMIF($E$4:$E$127,"310",$AL$4:$AL$127)</f>
        <v>0</v>
      </c>
      <c r="AM134" s="124">
        <f>SUMIF($E$4:$E$127,"310",$AM$4:$AM$127)</f>
        <v>0</v>
      </c>
      <c r="AN134" s="124">
        <f>SUMIF($E$4:$E$127,"310",$AN$4:$AN$127)</f>
        <v>0</v>
      </c>
      <c r="AO134" s="124">
        <f>SUMIF($E$4:$E$127,"310",$AO$4:$AO$127)</f>
        <v>0</v>
      </c>
      <c r="AP134" s="124">
        <f>SUMIF($E$4:$E$127,"310",$AP$4:$AP$127)</f>
        <v>0</v>
      </c>
      <c r="AQ134" s="124">
        <f>SUMIF($E$4:$E$127,"310",$AQ$4:$AQ$127)</f>
        <v>0</v>
      </c>
      <c r="AR134" s="124">
        <f>SUMIF($E$4:$E$127,"310",$AR$4:$AR$127)</f>
        <v>0</v>
      </c>
      <c r="AS134" s="124">
        <f>SUMIF($E$4:$E$127,"310",$AS$4:$AS$127)</f>
        <v>0</v>
      </c>
      <c r="AT134" s="124">
        <f>SUMIF($E$4:$E$127,"310",$AT$4:$AT$127)</f>
        <v>0</v>
      </c>
      <c r="AU134" s="124">
        <f>SUMIF($E$4:$E$127,"310",$AU$4:$AU$127)</f>
        <v>0</v>
      </c>
      <c r="AV134" s="124">
        <f>SUMIF($E$4:$E$127,"310",$AV$4:$AV$127)</f>
        <v>0</v>
      </c>
      <c r="AW134" s="124">
        <f>SUMIF($E$4:$E$127,"310",$AW$4:$AW$127)</f>
        <v>25090085</v>
      </c>
      <c r="AX134" s="109">
        <f t="shared" si="166"/>
        <v>0.48185834121036331</v>
      </c>
      <c r="AY134" s="30">
        <f t="shared" si="167"/>
        <v>522511812</v>
      </c>
      <c r="AZ134" s="127">
        <f>SUMIF($E$4:$E$127,"310",$AZ$4:$AZ$127)</f>
        <v>0</v>
      </c>
      <c r="BA134" s="127">
        <f>SUMIF($E$4:$E$127,"310",$BA$4:$BA$127)</f>
        <v>374828403</v>
      </c>
      <c r="BB134" s="127">
        <f>SUMIF($E$4:$E$127,"310",$BB$4:$BB$127)</f>
        <v>0</v>
      </c>
      <c r="BC134" s="127">
        <f>SUMIF($E$4:$E$127,"310",$BC$4:$BC$127)</f>
        <v>95773494</v>
      </c>
      <c r="BD134" s="127">
        <f>SUMIF($E$4:$E$127,"310",$BD$4:$BD$127)</f>
        <v>0</v>
      </c>
      <c r="BE134" s="127">
        <f>SUMIF($E$4:$E$127,"310",$BE$4:$BE$127)</f>
        <v>0</v>
      </c>
      <c r="BF134" s="127">
        <f>SUMIF($E$4:$E$127,"310",$BF$4:$BF$127)</f>
        <v>0</v>
      </c>
      <c r="BG134" s="127">
        <f>SUMIF($E$4:$E$127,"310",$BG$4:$BG$127)</f>
        <v>0</v>
      </c>
      <c r="BH134" s="127">
        <f>SUMIF($E$4:$E$127,"310",$BH$4:$BH$127)</f>
        <v>0</v>
      </c>
      <c r="BI134" s="127">
        <f>SUMIF($E$4:$E$127,"310",$BI$4:$BI$127)</f>
        <v>0</v>
      </c>
      <c r="BJ134" s="127">
        <f>SUMIF($E$4:$E$127,"310",$BJ$4:$BJ$127)</f>
        <v>0</v>
      </c>
      <c r="BK134" s="127">
        <f>SUMIF($E$4:$E$127,"310",$BK$4:$BK$127)</f>
        <v>0</v>
      </c>
      <c r="BL134" s="127">
        <f>SUMIF($E$4:$E$127,"310",$BL$4:$BL$127)</f>
        <v>0</v>
      </c>
      <c r="BM134" s="127">
        <f>SUMIF($E$4:$E$127,"310",$BM$4:$BM$127)</f>
        <v>0</v>
      </c>
      <c r="BN134" s="127">
        <f>SUMIF($E$4:$E$127,"310",$BN$4:$BN$127)</f>
        <v>0</v>
      </c>
      <c r="BO134" s="127">
        <f>SUMIF($E$4:$E$127,"310",$BN$4:$BN$127)</f>
        <v>0</v>
      </c>
      <c r="BP134" s="127">
        <f>SUMIF($E$4:$E$127,"310",$BP$4:$BP$127)</f>
        <v>0</v>
      </c>
      <c r="BQ134" s="127">
        <f>SUMIF($E$4:$E$127,"310",$BQ$4:$BQ$127)</f>
        <v>0</v>
      </c>
      <c r="BR134" s="128">
        <f>SUMIF($E$4:$E$127,"310",$BR$4:$BR$127)</f>
        <v>51909915</v>
      </c>
      <c r="BS134" s="129">
        <f t="shared" si="168"/>
        <v>0.3714677603351399</v>
      </c>
      <c r="BT134" s="36">
        <f t="shared" si="169"/>
        <v>402807788</v>
      </c>
      <c r="BU134" s="124">
        <f>SUMIF($E$4:$E$127,"310",$BU$4:$BU$127)</f>
        <v>0</v>
      </c>
      <c r="BV134" s="124">
        <f>SUMIF($E$4:$E$127,"310",$BV$4:$BV$127)</f>
        <v>0</v>
      </c>
      <c r="BW134" s="124">
        <f>SUMIF($E$4:$E$127,"310",$BW$4:$BW$127)</f>
        <v>74671597</v>
      </c>
      <c r="BX134" s="124">
        <f>SUMIF($E$4:$E$127,"310",$BX$4:$BX$127)</f>
        <v>0</v>
      </c>
      <c r="BY134" s="124">
        <f>SUMIF($E$4:$E$127,"310",$BY$4:$BY$127)</f>
        <v>303539270</v>
      </c>
      <c r="BZ134" s="124">
        <f>SUMIF($E$4:$E$127,"310",$BZ$4:$BZ$127)</f>
        <v>0</v>
      </c>
      <c r="CA134" s="124">
        <f>SUMIF($E$4:$E$127,"310",$CA$4:$CA$127)</f>
        <v>0</v>
      </c>
      <c r="CB134" s="124">
        <f>SUMIF($E$4:$E$127,"310",$CB$4:$CB$127)</f>
        <v>0</v>
      </c>
      <c r="CC134" s="124">
        <f>SUMIF($E$4:$E$127,"310",$CC$4:$CC$127)</f>
        <v>0</v>
      </c>
      <c r="CD134" s="124">
        <f>SUMIF($E$4:$E$127,"310",$CD$4:$CD$127)</f>
        <v>0</v>
      </c>
      <c r="CE134" s="124">
        <f>SUMIF($E$4:$E$127,"310",$CE$4:$CE$127)</f>
        <v>0</v>
      </c>
      <c r="CF134" s="124">
        <f>SUMIF($E$4:$E$127,"310",$CF$4:$CF$127)</f>
        <v>0</v>
      </c>
      <c r="CG134" s="124">
        <f>SUMIF($E$4:$E$127,"310",$CG$4:$CG$127)</f>
        <v>0</v>
      </c>
      <c r="CH134" s="124">
        <f>SUMIF($E$4:$E$127,"310",$CH$4:$CH$127)</f>
        <v>0</v>
      </c>
      <c r="CI134" s="124">
        <f>SUMIF($E$4:$E$127,"310",$CI$4:$CI$127)</f>
        <v>0</v>
      </c>
      <c r="CJ134" s="124">
        <f>SUMIF($E$4:$E$127,"310",$CJ$4:$CJ$127)</f>
        <v>0</v>
      </c>
      <c r="CK134" s="124">
        <f>SUMIF($E$4:$E$127,"310",$CK$4:$CK$127)</f>
        <v>0</v>
      </c>
      <c r="CL134" s="124">
        <f>SUMIF($E$4:$E$127,"310",$CL$4:$CL$127)</f>
        <v>0</v>
      </c>
      <c r="CM134" s="124">
        <f>SUMIF($E$4:$E$127,"310",$CM$4:$CM$127)</f>
        <v>0</v>
      </c>
      <c r="CN134" s="130">
        <f>SUMIF($E$4:$E$127,"310",$CN$4:$CN$127)</f>
        <v>24596921</v>
      </c>
      <c r="CO134" s="27">
        <f t="shared" si="170"/>
        <v>0.62853223966486005</v>
      </c>
      <c r="CP134" s="30">
        <f t="shared" si="171"/>
        <v>681560308</v>
      </c>
      <c r="CQ134" s="127">
        <f>SUMIF($E$4:$E$127,"310",$CQ$4:$CQ$127)</f>
        <v>0</v>
      </c>
      <c r="CR134" s="127">
        <f>SUMIF($E$4:$E$127,"310",$CR$4:$CR$127)</f>
        <v>375328403</v>
      </c>
      <c r="CS134" s="127">
        <f>SUMIF($E$4:$E$127,"310",$CS$4:$CS$127)</f>
        <v>0</v>
      </c>
      <c r="CT134" s="127">
        <f>SUMIF($E$4:$E$127,"310",$CT$4:$CT$127)</f>
        <v>253828826</v>
      </c>
      <c r="CU134" s="127">
        <f>SUMIF($E$4:$E$127,"310",$CU$4:$CU$127)</f>
        <v>0</v>
      </c>
      <c r="CV134" s="127">
        <f>SUMIF($E$4:$E$127,"310",$CV$4:$CV$127)</f>
        <v>0</v>
      </c>
      <c r="CW134" s="131">
        <f>SUMIF($E$4:$E$127,"310",$CW$4:$CW$127)</f>
        <v>0</v>
      </c>
      <c r="CX134" s="131">
        <f>SUMIF($E$4:$E$127,"310",$CX$4:$CX$127)</f>
        <v>0</v>
      </c>
      <c r="CY134" s="131">
        <f>SUMIF($E$4:$E$127,"310",$CY$4:$CY$127)</f>
        <v>0</v>
      </c>
      <c r="CZ134" s="131">
        <f>SUMIF($E$4:$E$127,"310",$CZ$4:$CZ$127)</f>
        <v>0</v>
      </c>
      <c r="DA134" s="131">
        <f>SUMIF($E$4:$E$127,"310",$DA$4:$DA$127)</f>
        <v>0</v>
      </c>
      <c r="DB134" s="131">
        <f>SUMIF($E$4:$E$127,"310",$DB$4:$DB$127)</f>
        <v>0</v>
      </c>
      <c r="DC134" s="131">
        <f>SUMIF($E$4:$E$127,"310",$DC$4:$DC$127)</f>
        <v>0</v>
      </c>
      <c r="DD134" s="131">
        <f>SUMIF($E$4:$E$127,"310",$DD$4:$DD$127)</f>
        <v>0</v>
      </c>
      <c r="DE134" s="131">
        <f>SUMIF($E$4:$E$127,"310",$DE$4:$DE$127)</f>
        <v>0</v>
      </c>
      <c r="DF134" s="131">
        <f>SUMIF($E$4:$E$127,"310",$DF$4:$DF$127)</f>
        <v>0</v>
      </c>
      <c r="DG134" s="131">
        <f>SUMIF($E$4:$E$127,"310",$DG$4:$DG$127)</f>
        <v>0</v>
      </c>
      <c r="DH134" s="131">
        <f>SUMIF($E$4:$E$127,"310",$DH$4:$DH$127)</f>
        <v>0</v>
      </c>
      <c r="DI134" s="131">
        <f>SUMIF($E$4:$E$127,"310",$DI$4:$DI$127)</f>
        <v>52403079</v>
      </c>
    </row>
    <row r="135" spans="3:113" x14ac:dyDescent="0.25">
      <c r="C135" s="133"/>
      <c r="D135" s="122" t="s">
        <v>365</v>
      </c>
      <c r="E135" s="115">
        <v>410</v>
      </c>
      <c r="F135" s="123"/>
      <c r="G135" s="124">
        <f>SUMIF($E$4:$E$127,"410",$G$4:$G$127)</f>
        <v>5225565856</v>
      </c>
      <c r="H135" s="125">
        <f>SUMIF($E$4:$E$127,"410",$H$4:$H$127)</f>
        <v>0</v>
      </c>
      <c r="I135" s="125">
        <f>SUMIF($E$4:$E$128,"410",$I$4:$I$128)</f>
        <v>1563096695</v>
      </c>
      <c r="J135" s="124">
        <f>SUMIF($E$4:$E$127,"410",$J$4:$J$127)</f>
        <v>0</v>
      </c>
      <c r="K135" s="123">
        <f>SUMIF($E$4:$E$127,"410",$K$4:$K$127)</f>
        <v>0</v>
      </c>
      <c r="L135" s="123">
        <f>SUMIF($E$4:$E$127,"410",$L$4:$L$127)</f>
        <v>74368590</v>
      </c>
      <c r="M135" s="123">
        <f>SUMIF($E$4:$E$127,"410",$M$4:$M$127)</f>
        <v>0</v>
      </c>
      <c r="N135" s="123">
        <f>SUMIF($E$4:$E$127,"410",$N$4:$N$127)</f>
        <v>0</v>
      </c>
      <c r="O135" s="123">
        <f>SUMIF($E$4:$E$127,"410",$O$4:$O$127)</f>
        <v>0</v>
      </c>
      <c r="P135" s="123">
        <f>SUMIF($E$4:$E$127,"410",$P$4:$P$127)</f>
        <v>0</v>
      </c>
      <c r="Q135" s="123">
        <f>SUMIF($E$4:$E$127,"410",$Q$4:$Q$127)</f>
        <v>0</v>
      </c>
      <c r="R135" s="123">
        <f>SUMIF($E$4:$E$127,"410",$R$4:$R$127)</f>
        <v>1802332849</v>
      </c>
      <c r="S135" s="123">
        <f>SUMIF($E$4:$E$127,"410",$S$4:$S$127)</f>
        <v>387696735</v>
      </c>
      <c r="T135" s="123">
        <f>SUMIF($E$4:$E$127,"410",$T$4:$T$127)</f>
        <v>0</v>
      </c>
      <c r="U135" s="123">
        <f>SUMIF($E$4:$E$119,"410",$U$4:$U$119)</f>
        <v>1054833768</v>
      </c>
      <c r="V135" s="123">
        <f>SUMIF($E$4:$E$119,"410",$V$4:$V$119)</f>
        <v>0</v>
      </c>
      <c r="W135" s="123">
        <f>SUMIF($E$4:$E$127,"410",$W$4:$W$127)</f>
        <v>51295383</v>
      </c>
      <c r="X135" s="123">
        <f>SUMIF($E$4:$E$127,"410",$X$4:$X$127)</f>
        <v>0</v>
      </c>
      <c r="Y135" s="123">
        <f>SUMIF($E$4:$E$127,"410",$Y$4:$Y$127)</f>
        <v>204741836</v>
      </c>
      <c r="Z135" s="123">
        <f>SUMIF($E$4:$E$127,"410",$Z$4:$Z$127)</f>
        <v>87200000</v>
      </c>
      <c r="AB135" s="126">
        <f t="shared" si="164"/>
        <v>0.903539422353421</v>
      </c>
      <c r="AC135" s="30">
        <f t="shared" si="165"/>
        <v>4721504755</v>
      </c>
      <c r="AD135" s="124">
        <f>SUMIF($E$4:$E$127,"410",$AD$4:$AD$127)</f>
        <v>0</v>
      </c>
      <c r="AE135" s="124">
        <f>SUMIF($E$4:$E$127,"410",$AE$4:$AE$127)</f>
        <v>0</v>
      </c>
      <c r="AF135" s="124">
        <f>SUMIF($E$4:$E$127,"410",$AF$4:$AF$127)</f>
        <v>1545956457</v>
      </c>
      <c r="AG135" s="124">
        <f>SUMIF($E$4:$E$127,"410",$AG$4:$AG$127)</f>
        <v>0</v>
      </c>
      <c r="AH135" s="124">
        <f>SUMIF($E$4:$E$127,"410",$AH$4:$AH$127)</f>
        <v>0</v>
      </c>
      <c r="AI135" s="124">
        <f>SUMIF($E$4:$E$127,"410",$AI$4:$AI$127)</f>
        <v>43061377</v>
      </c>
      <c r="AJ135" s="124">
        <f>SUMIF($E$4:$E$127,"410",$AJ$4:$AJ$127)</f>
        <v>0</v>
      </c>
      <c r="AK135" s="124">
        <f>SUMIF($E$4:$E$127,"410",$AK$4:$AK$127)</f>
        <v>0</v>
      </c>
      <c r="AL135" s="124">
        <f>SUMIF($E$4:$E$127,"410",$AL$4:$AL$127)</f>
        <v>0</v>
      </c>
      <c r="AM135" s="124">
        <f>SUMIF($E$4:$E$127,"410",$AM$4:$AM$127)</f>
        <v>0</v>
      </c>
      <c r="AN135" s="124">
        <f>SUMIF($E$4:$E$127,"410",$AN$4:$AN$127)</f>
        <v>0</v>
      </c>
      <c r="AO135" s="124">
        <f>SUMIF($E$4:$E$127,"410",$AO$4:$AO$127)</f>
        <v>1763057320</v>
      </c>
      <c r="AP135" s="124">
        <f>SUMIF($E$4:$E$127,"410",$AP$4:$AP$127)</f>
        <v>304609464</v>
      </c>
      <c r="AQ135" s="124">
        <f>SUMIF($E$4:$E$127,"410",$AQ$4:$AQ$127)</f>
        <v>0</v>
      </c>
      <c r="AR135" s="124">
        <f>SUMIF($E$4:$E$127,"410",$AR$4:$AR$127)</f>
        <v>832240418</v>
      </c>
      <c r="AS135" s="124">
        <f>SUMIF($E$4:$E$127,"410",$AS$4:$AS$127)</f>
        <v>0</v>
      </c>
      <c r="AT135" s="124">
        <f>SUMIF($E$4:$E$127,"410",$AT$4:$AT$127)</f>
        <v>51295383</v>
      </c>
      <c r="AU135" s="124">
        <f>SUMIF($E$4:$E$127,"410",$AU$4:$AU$127)</f>
        <v>0</v>
      </c>
      <c r="AV135" s="124">
        <f>SUMIF($E$4:$E$127,"410",$AV$4:$AV$127)</f>
        <v>114321836</v>
      </c>
      <c r="AW135" s="124">
        <f>SUMIF($E$4:$E$127,"410",$AW$4:$AW$127)</f>
        <v>66962500</v>
      </c>
      <c r="AX135" s="109">
        <f t="shared" si="166"/>
        <v>9.6460577646579004E-2</v>
      </c>
      <c r="AY135" s="30">
        <f t="shared" si="167"/>
        <v>504061101</v>
      </c>
      <c r="AZ135" s="127">
        <f>SUMIF($E$4:$E$127,"410",$AZ$4:$AZ$127)</f>
        <v>0</v>
      </c>
      <c r="BA135" s="127">
        <f>SUMIF($E$4:$E$127,"410",$BA$4:$BA$127)</f>
        <v>17140238</v>
      </c>
      <c r="BB135" s="127">
        <f>SUMIF($E$4:$E$127,"410",$BB$4:$BB$127)</f>
        <v>0</v>
      </c>
      <c r="BC135" s="127">
        <f>SUMIF($E$4:$E$127,"410",$BC$4:$BC$127)</f>
        <v>0</v>
      </c>
      <c r="BD135" s="127">
        <f>SUMIF($E$4:$E$127,"410",$BD$4:$BD$127)</f>
        <v>31307213</v>
      </c>
      <c r="BE135" s="127">
        <f>SUMIF($E$4:$E$127,"410",$BE$4:$BE$127)</f>
        <v>0</v>
      </c>
      <c r="BF135" s="127">
        <f>SUMIF($E$4:$E$127,"410",$BF$4:$BF$127)</f>
        <v>0</v>
      </c>
      <c r="BG135" s="127">
        <f>SUMIF($E$4:$E$127,"410",$BG$4:$BG$127)</f>
        <v>0</v>
      </c>
      <c r="BH135" s="127">
        <f>SUMIF($E$4:$E$127,"410",$BH$4:$BH$127)</f>
        <v>0</v>
      </c>
      <c r="BI135" s="127">
        <f>SUMIF($E$4:$E$127,"410",$BI$4:$BI$127)</f>
        <v>0</v>
      </c>
      <c r="BJ135" s="127">
        <f>SUMIF($E$4:$E$127,"410",$BJ$4:$BJ$127)</f>
        <v>39275529</v>
      </c>
      <c r="BK135" s="127">
        <f>SUMIF($E$4:$E$127,"410",$BK$4:$BK$127)</f>
        <v>83087271</v>
      </c>
      <c r="BL135" s="127">
        <f>SUMIF($E$4:$E$127,"410",$BL$4:$BL$127)</f>
        <v>0</v>
      </c>
      <c r="BM135" s="127">
        <f>SUMIF($E$4:$E$127,"410",$BM$4:$BM$127)</f>
        <v>222593350</v>
      </c>
      <c r="BN135" s="127">
        <f>SUMIF($E$4:$E$127,"510",$BN$4:$BN$127)</f>
        <v>0</v>
      </c>
      <c r="BO135" s="127">
        <f>SUMIF($E$4:$E$127,"410",$BO$4:$BO$127)</f>
        <v>0</v>
      </c>
      <c r="BP135" s="127">
        <f>SUMIF($E$4:$E$127,"410",$BP$4:$BP$127)</f>
        <v>0</v>
      </c>
      <c r="BQ135" s="127">
        <f>SUMIF($E$4:$E$127,"410",$BQ$4:$BQ$127)</f>
        <v>90420000</v>
      </c>
      <c r="BR135" s="128">
        <f>SUMIF($E$4:$E$127,"410",$BR$4:$BR$127)</f>
        <v>20237500</v>
      </c>
      <c r="BS135" s="129">
        <f t="shared" si="168"/>
        <v>0.58793228114662577</v>
      </c>
      <c r="BT135" s="30">
        <f t="shared" si="169"/>
        <v>3072278854</v>
      </c>
      <c r="BU135" s="124">
        <f>SUMIF($E$4:$E$127,"410",$BU$4:$BU$127)</f>
        <v>0</v>
      </c>
      <c r="BV135" s="124">
        <f>SUMIF($E$4:$E$127,"410",$BV$4:$BV$127)</f>
        <v>0</v>
      </c>
      <c r="BW135" s="124">
        <f>SUMIF($E$4:$E$127,"410",$BW$4:$BW$127)</f>
        <v>824157050</v>
      </c>
      <c r="BX135" s="124">
        <f>SUMIF($E$4:$E$127,"410",$BX$4:$BX$127)</f>
        <v>0</v>
      </c>
      <c r="BY135" s="124">
        <f>SUMIF($E$4:$E$127,"410",$BY$4:$BY$127)</f>
        <v>0</v>
      </c>
      <c r="BZ135" s="124">
        <f>SUMIF($E$4:$E$127,"410",$BZ$4:$BZ$127)</f>
        <v>35500000</v>
      </c>
      <c r="CA135" s="124">
        <f>SUMIF($E$4:$E$127,"410",$CA$4:$CA$127)</f>
        <v>0</v>
      </c>
      <c r="CB135" s="124">
        <f>SUMIF($E$4:$E$127,"410",$CB$4:$CB$127)</f>
        <v>0</v>
      </c>
      <c r="CC135" s="124">
        <f>SUMIF($E$4:$E$127,"410",$CC$4:$CC$127)</f>
        <v>0</v>
      </c>
      <c r="CD135" s="124">
        <f>SUMIF($E$4:$E$127,"410",$CD$4:$CD$127)</f>
        <v>0</v>
      </c>
      <c r="CE135" s="124">
        <f>SUMIF($E$4:$E$127,"410",$CE$4:$CE$127)</f>
        <v>0</v>
      </c>
      <c r="CF135" s="124">
        <f>SUMIF($E$4:$E$127,"410",$CF$4:$CF$127)</f>
        <v>1085446388</v>
      </c>
      <c r="CG135" s="124">
        <f>SUMIF($E$4:$E$127,"410",$CG$4:$CG$127)</f>
        <v>280642464</v>
      </c>
      <c r="CH135" s="124">
        <f>SUMIF($E$4:$E$127,"410",$CH$4:$CH$127)</f>
        <v>0</v>
      </c>
      <c r="CI135" s="124">
        <f>SUMIF($E$4:$E$127,"410",$CI$4:$CI$127)</f>
        <v>766242889</v>
      </c>
      <c r="CJ135" s="124">
        <f>SUMIF($E$4:$E$127,"410",$CJ$4:$CJ$127)</f>
        <v>0</v>
      </c>
      <c r="CK135" s="124">
        <f>SUMIF($E$4:$E$127,"410",$CK$4:$CK$127)</f>
        <v>0</v>
      </c>
      <c r="CL135" s="124">
        <f>SUMIF($E$4:$E$127,"410",$CL$4:$CL$127)</f>
        <v>0</v>
      </c>
      <c r="CM135" s="124">
        <f>SUMIF($E$4:$E$127,"410",$CM$4:$CM$127)</f>
        <v>23350298</v>
      </c>
      <c r="CN135" s="130">
        <f>SUMIF($E$4:$E$127,"410",$CN$4:$CN$127)</f>
        <v>56939765</v>
      </c>
      <c r="CO135" s="27">
        <f t="shared" si="170"/>
        <v>0.41206771885337423</v>
      </c>
      <c r="CP135" s="30">
        <f t="shared" si="171"/>
        <v>2153287002</v>
      </c>
      <c r="CQ135" s="127">
        <f>SUMIF($E$4:$E$127,"410",$CQ$4:$CQ$127)</f>
        <v>0</v>
      </c>
      <c r="CR135" s="127">
        <f>SUMIF($E$4:$E$127,"410",$CR$4:$CR$127)</f>
        <v>738939645</v>
      </c>
      <c r="CS135" s="127">
        <f>SUMIF($E$4:$E$127,"410",$CS$4:$CS$127)</f>
        <v>0</v>
      </c>
      <c r="CT135" s="127">
        <f>SUMIF($E$4:$E$127,"410",$CT$4:$CT$127)</f>
        <v>0</v>
      </c>
      <c r="CU135" s="127">
        <f>SUMIF($E$4:$E$127,"410",$CU$4:$CU$127)</f>
        <v>38868590</v>
      </c>
      <c r="CV135" s="127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0</v>
      </c>
      <c r="CY135" s="131">
        <f>SUMIF($E$4:$E$127,"410",$CY$4:$CY$127)</f>
        <v>0</v>
      </c>
      <c r="CZ135" s="131">
        <f>SUMIF($E$4:$E$127,"410",$CZ$4:$CZ$127)</f>
        <v>0</v>
      </c>
      <c r="DA135" s="131">
        <f>SUMIF($E$4:$E$127,"410",$DA$4:$DA$127)</f>
        <v>716886461</v>
      </c>
      <c r="DB135" s="131">
        <f>SUMIF($E$4:$E$127,"410",$DB$4:$DB$127)</f>
        <v>107054271</v>
      </c>
      <c r="DC135" s="131">
        <f>SUMIF($E$4:$E$127,"410",$DC$4:$DC$127)</f>
        <v>0</v>
      </c>
      <c r="DD135" s="131">
        <f>SUMIF($E$4:$E$127,"410",$DD$4:$DD$127)</f>
        <v>288590879</v>
      </c>
      <c r="DE135" s="131">
        <f>SUMIF($E$4:$E$127,"410",$DE$4:$DE$127)</f>
        <v>0</v>
      </c>
      <c r="DF135" s="131">
        <f>SUMIF($E$4:$E$127,"410",$DF$4:$DF$127)</f>
        <v>51295383</v>
      </c>
      <c r="DG135" s="131">
        <f>SUMIF($E$4:$E$127,"410",$DG$4:$DG$127)</f>
        <v>0</v>
      </c>
      <c r="DH135" s="131">
        <f>SUMIF($E$4:$E$127,"410",$DH$4:$DH$127)</f>
        <v>181391538</v>
      </c>
      <c r="DI135" s="131">
        <f>SUMIF($E$4:$E$127,"410",$DI$4:$DI$127)</f>
        <v>30260235</v>
      </c>
    </row>
    <row r="136" spans="3:113" ht="14.25" customHeight="1" x14ac:dyDescent="0.25">
      <c r="C136" s="133"/>
      <c r="D136" s="134" t="s">
        <v>366</v>
      </c>
      <c r="E136" s="115">
        <v>510</v>
      </c>
      <c r="F136" s="123"/>
      <c r="G136" s="124">
        <f>SUMIF($E$4:$E$127,"510",$G$4:$G$127)</f>
        <v>1020280977</v>
      </c>
      <c r="H136" s="125">
        <f>SUMIF($E$4:$E$127,"510",$H$4:$H$127)</f>
        <v>0</v>
      </c>
      <c r="I136" s="125">
        <f>SUMIF($E$4:$E$128,"510",$I$4:$I$128)</f>
        <v>0</v>
      </c>
      <c r="J136" s="124">
        <f>SUMIF($E$4:$E$127,"510",$J$4:$J$127)</f>
        <v>0</v>
      </c>
      <c r="K136" s="123">
        <f>SUMIF($E$4:$E$127,"510",$K$4:$K$127)</f>
        <v>822368554</v>
      </c>
      <c r="L136" s="123">
        <f>SUMIF($E$4:$E$127,"510",$L$4:$L$127)</f>
        <v>14004396</v>
      </c>
      <c r="M136" s="123">
        <f>SUMIF($E$4:$E$127,"510",$M$4:$M$127)</f>
        <v>0</v>
      </c>
      <c r="N136" s="123">
        <f>SUMIF($E$4:$E$127,"510",$N$4:$N$127)</f>
        <v>0</v>
      </c>
      <c r="O136" s="123">
        <f>SUMIF($E$4:$E$127,"510",$O$4:$O$127)</f>
        <v>0</v>
      </c>
      <c r="P136" s="123">
        <f>SUMIF($E$4:$E$127,"510",$P$4:$P$127)</f>
        <v>0</v>
      </c>
      <c r="Q136" s="123">
        <f>SUMIF($E$4:$E$127,"510",$Q$4:$Q$127)</f>
        <v>0</v>
      </c>
      <c r="R136" s="123">
        <f>SUMIF($E$4:$E$127,"510",$R$4:$R$127)</f>
        <v>0</v>
      </c>
      <c r="S136" s="123">
        <f>SUMIF($E$4:$E$127,"510",$S$4:$S$127)</f>
        <v>40431446</v>
      </c>
      <c r="T136" s="123">
        <f>SUMIF($E$4:$E$127,"510",$T$4:$T$127)</f>
        <v>1796640</v>
      </c>
      <c r="U136" s="123">
        <f>SUMIF($E$4:$E$127,"510",$U$4:$U$127)</f>
        <v>0</v>
      </c>
      <c r="V136" s="123">
        <f>SUMIF($E$4:$E$119,"510",$V$4:$V$119)</f>
        <v>0</v>
      </c>
      <c r="W136" s="123"/>
      <c r="X136" s="123">
        <f>SUMIF($E$4:$E$127,"510",$X$4:$X$127)</f>
        <v>0</v>
      </c>
      <c r="Y136" s="123">
        <f>SUMIF($E$4:$E$127,"510",$Y$4:$Y$127)</f>
        <v>0</v>
      </c>
      <c r="Z136" s="123">
        <f>SUMIF($E$4:$E$127,"510",$Z$4:$Z$127)</f>
        <v>141679941</v>
      </c>
      <c r="AB136" s="126">
        <f t="shared" si="164"/>
        <v>0.86672247345056597</v>
      </c>
      <c r="AC136" s="30">
        <f t="shared" si="165"/>
        <v>884300452</v>
      </c>
      <c r="AD136" s="124">
        <f>SUMIF($E$4:$E$127,"510",$AD$4:$AD$127)</f>
        <v>0</v>
      </c>
      <c r="AE136" s="124">
        <f>SUMIF($E$4:$E$127,"510",$AE$4:$AE$127)</f>
        <v>0</v>
      </c>
      <c r="AF136" s="124">
        <f>SUMIF($E$4:$E$127,"510",$AF$4:$AF$127)</f>
        <v>0</v>
      </c>
      <c r="AG136" s="124">
        <f>SUMIF($E$4:$E$127,"510",$AG$4:$AG$127)</f>
        <v>0</v>
      </c>
      <c r="AH136" s="124">
        <f>SUMIF($E$4:$E$127,"510",$AH$4:$AH$127)</f>
        <v>744468224</v>
      </c>
      <c r="AI136" s="124">
        <f>SUMIF($E$4:$E$127,"510",$AI$4:$AI$127)</f>
        <v>14004396</v>
      </c>
      <c r="AJ136" s="124">
        <f>SUMIF($E$4:$E$127,"510",$AJ$4:$AJ$127)</f>
        <v>0</v>
      </c>
      <c r="AK136" s="124">
        <f>SUMIF($E$4:$E$127,"510",$AK$4:$AK$127)</f>
        <v>0</v>
      </c>
      <c r="AL136" s="124">
        <f>SUMIF($E$4:$E$127,"510",$AL$4:$AL$127)</f>
        <v>0</v>
      </c>
      <c r="AM136" s="124">
        <f>SUMIF($E$4:$E$127,"510",$AM$4:$AM$127)</f>
        <v>0</v>
      </c>
      <c r="AN136" s="124">
        <f>SUMIF($E$4:$E$127,"510",$AN$4:$AN$127)</f>
        <v>0</v>
      </c>
      <c r="AO136" s="124">
        <f>SUMIF($E$4:$E$127,"510",$AO$4:$AO$127)</f>
        <v>0</v>
      </c>
      <c r="AP136" s="124">
        <f>SUMIF($E$4:$E$127,"510",$AP$4:$AP$127)</f>
        <v>23188762</v>
      </c>
      <c r="AQ136" s="124">
        <f>SUMIF($E$4:$E$127,"510",$AQ$4:$AQ$127)</f>
        <v>1796640</v>
      </c>
      <c r="AR136" s="124">
        <f>SUMIF($E$4:$E$127,"510",$AR$4:$AR$127)</f>
        <v>0</v>
      </c>
      <c r="AS136" s="124">
        <f>SUMIF($E$4:$E$127,"510",$AS$4:$AS$127)</f>
        <v>0</v>
      </c>
      <c r="AT136" s="124">
        <f>SUMIF($E$4:$E$127,"510",$AT$4:$AT$127)</f>
        <v>0</v>
      </c>
      <c r="AU136" s="124">
        <f>SUMIF($E$4:$E$127,"510",$AU$4:$AU$127)</f>
        <v>0</v>
      </c>
      <c r="AV136" s="124">
        <f>SUMIF($E$4:$E$127," 510",$AV$4:$AV$127)</f>
        <v>0</v>
      </c>
      <c r="AW136" s="124">
        <f>SUMIF($E$4:$E$127,"510",$AW$4:$AW$127)</f>
        <v>100842430</v>
      </c>
      <c r="AX136" s="109">
        <f t="shared" si="166"/>
        <v>0.13327752654943403</v>
      </c>
      <c r="AY136" s="30">
        <f t="shared" si="167"/>
        <v>135980525</v>
      </c>
      <c r="AZ136" s="127">
        <f>SUMIF($E$4:$E$127,"510",$AZ$4:$AZ$127)</f>
        <v>0</v>
      </c>
      <c r="BA136" s="127">
        <f>SUMIF($E$4:$E$127,"510",$BA$4:$BA$127)</f>
        <v>0</v>
      </c>
      <c r="BB136" s="127">
        <f>SUMIF($E$4:$E$127,"510",$BB$4:$BB$127)</f>
        <v>0</v>
      </c>
      <c r="BC136" s="127">
        <f>SUMIF($E$4:$E$127,"510",$BC$4:$BC$127)</f>
        <v>77900330</v>
      </c>
      <c r="BD136" s="127">
        <f>SUMIF($E$4:$E$127,"510",$BD$4:$BD$127)</f>
        <v>0</v>
      </c>
      <c r="BE136" s="127">
        <f>SUMIF($E$4:$E$127,"510",$BE$4:$BE$127)</f>
        <v>0</v>
      </c>
      <c r="BF136" s="127">
        <f>SUMIF($E$4:$E$127,"510",$BF$4:$BF$127)</f>
        <v>0</v>
      </c>
      <c r="BG136" s="127">
        <f>SUMIF($E$4:$E$127,"510",$BG$4:$BG$127)</f>
        <v>0</v>
      </c>
      <c r="BH136" s="127">
        <f>SUMIF($E$4:$E$127,"510",$BH$4:$BH$127)</f>
        <v>0</v>
      </c>
      <c r="BI136" s="127">
        <f>SUMIF($E$4:$E$127,"510",$BI$4:$BI$127)</f>
        <v>0</v>
      </c>
      <c r="BJ136" s="127">
        <f>SUMIF($E$4:$E$127,"510",$BJ$4:$BJ$127)</f>
        <v>0</v>
      </c>
      <c r="BK136" s="127">
        <f>SUMIF($E$4:$E$127,"510",$BK$4:$BK$127)</f>
        <v>17242684</v>
      </c>
      <c r="BL136" s="127">
        <f>SUMIF($E$4:$E$127,"510",$BL$4:$BL$127)</f>
        <v>0</v>
      </c>
      <c r="BM136" s="127">
        <f>SUMIF($E$4:$E$127,"510",$BM$4:$BM$127)</f>
        <v>0</v>
      </c>
      <c r="BN136" s="127">
        <f>SUMIF($E$4:$E$127,"520",$BN$4:$BN$127)</f>
        <v>0</v>
      </c>
      <c r="BO136" s="127"/>
      <c r="BP136" s="127">
        <f>SUMIF($E$4:$E$127,"510",$BP$4:$BP$127)</f>
        <v>0</v>
      </c>
      <c r="BQ136" s="127">
        <f>SUMIF($E$4:$E$127,"510",$BQ$4:$BQ$127)</f>
        <v>0</v>
      </c>
      <c r="BR136" s="128">
        <f>SUMIF($E$4:$E$127,"510",$BR$4:$BR$127)</f>
        <v>40837511</v>
      </c>
      <c r="BS136" s="129">
        <f t="shared" si="168"/>
        <v>0.79578132720590755</v>
      </c>
      <c r="BT136" s="30">
        <f t="shared" si="169"/>
        <v>811920550</v>
      </c>
      <c r="BU136" s="124">
        <f>SUMIF($E$4:$E$127,"510",$BU$4:$BU$127)</f>
        <v>0</v>
      </c>
      <c r="BV136" s="124">
        <f>SUMIF($E$4:$E$127,"510",$BV$4:$BV$127)</f>
        <v>0</v>
      </c>
      <c r="BW136" s="124">
        <f>SUMIF($E$4:$E$127,"510",$BW$4:$BW$127)</f>
        <v>0</v>
      </c>
      <c r="BX136" s="124">
        <f>SUMIF($E$4:$E$127,"510",$BX$4:$BX$127)</f>
        <v>0</v>
      </c>
      <c r="BY136" s="124">
        <f>SUMIF($E$4:$E$127,"510",$BY$4:$BY$127)</f>
        <v>704650258</v>
      </c>
      <c r="BZ136" s="124">
        <f>SUMIF($E$4:$E$127,"510",$BZ$4:$BZ$127)</f>
        <v>14004396</v>
      </c>
      <c r="CA136" s="124">
        <f>SUMIF($E$4:$E$127,"510",$CA$4:$CA$127)</f>
        <v>0</v>
      </c>
      <c r="CB136" s="124">
        <f>SUMIF($E$4:$E$127,"510",$CB$4:$CB$127)</f>
        <v>0</v>
      </c>
      <c r="CC136" s="124">
        <f>SUMIF($E$4:$E$127,"510",$CC$4:$CC$127)</f>
        <v>0</v>
      </c>
      <c r="CD136" s="124">
        <f>SUMIF($E$4:$E$127,"510",$CD$4:$CD$127)</f>
        <v>0</v>
      </c>
      <c r="CE136" s="124">
        <f>SUMIF($E$4:$E$127,"510",$CE$4:$CE$127)</f>
        <v>0</v>
      </c>
      <c r="CF136" s="124">
        <f>SUMIF($E$4:$E$127,"510",$CF$4:$CF$127)</f>
        <v>0</v>
      </c>
      <c r="CG136" s="124">
        <f>SUMIF($E$4:$E$127,"510",$CG$4:$CG$127)</f>
        <v>23178230</v>
      </c>
      <c r="CH136" s="124">
        <f>SUMIF($E$4:$E$127,"510",$CH$4:$CH$127)</f>
        <v>1796640</v>
      </c>
      <c r="CI136" s="124">
        <f>SUMIF($E$4:$E$127,"510",$CI$4:$CI$127)</f>
        <v>0</v>
      </c>
      <c r="CJ136" s="124">
        <f>SUMIF($E$4:$E$127,"510",$CJ$4:$CJ$127)</f>
        <v>0</v>
      </c>
      <c r="CK136" s="124">
        <f>SUMIF($E$4:$E$127,"111",$CK$4:$CK$127)</f>
        <v>0</v>
      </c>
      <c r="CL136" s="124">
        <f>SUMIF($E$4:$E$127,"510",$CL$4:$CL$127)</f>
        <v>0</v>
      </c>
      <c r="CM136" s="124">
        <f>SUMIF($E$4:$E$127,"510",$CM$4:$CM$127)</f>
        <v>0</v>
      </c>
      <c r="CN136" s="130">
        <f>SUMIF($E$4:$E$127,"510",$CN$4:$CN$127)</f>
        <v>68291026</v>
      </c>
      <c r="CO136" s="27">
        <f t="shared" si="170"/>
        <v>0.20421867279409245</v>
      </c>
      <c r="CP136" s="30">
        <f t="shared" si="171"/>
        <v>208360427</v>
      </c>
      <c r="CQ136" s="127">
        <f>SUMIF($E$4:$E$127,"510",$CQ$4:$CQ$127)</f>
        <v>0</v>
      </c>
      <c r="CR136" s="127">
        <f>SUMIF($E$4:$E$127,"510",$CR$4:$CR$127)</f>
        <v>0</v>
      </c>
      <c r="CS136" s="127">
        <f>SUMIF($E$4:$E$127,"510",$CS$4:$CS$127)</f>
        <v>0</v>
      </c>
      <c r="CT136" s="127">
        <f>SUMIF($E$4:$E$127,"510",$CT$4:$CT$127)</f>
        <v>117718296</v>
      </c>
      <c r="CU136" s="127">
        <f>SUMIF($E$4:$E$127,"510",$CU$4:$CU$127)</f>
        <v>0</v>
      </c>
      <c r="CV136" s="127">
        <f>SUMIF($E$4:$E$127,"510",$CV$4:$CV$127)</f>
        <v>0</v>
      </c>
      <c r="CW136" s="131">
        <f>SUMIF($E$4:$E$127,"510",$CW$4:$CW$127)</f>
        <v>0</v>
      </c>
      <c r="CX136" s="131">
        <f>SUMIF($E$4:$E$127,"510",$CX$4:$CX$127)</f>
        <v>0</v>
      </c>
      <c r="CY136" s="131">
        <f>SUMIF($E$4:$E$127,"510",$CY$4:$CY$127)</f>
        <v>0</v>
      </c>
      <c r="CZ136" s="131">
        <f>SUMIF($E$4:$E$127,"510",$CZ$4:$CZ$127)</f>
        <v>0</v>
      </c>
      <c r="DA136" s="131">
        <f>SUMIF($E$4:$E$127,"510",$DA$4:$DA$127)</f>
        <v>0</v>
      </c>
      <c r="DB136" s="131">
        <f>SUMIF($E$4:$E$127,"510",$DB$4:$DB$127)</f>
        <v>17253216</v>
      </c>
      <c r="DC136" s="131">
        <f>SUMIF($E$4:$E$127,"510",$DC$4:$DC$127)</f>
        <v>0</v>
      </c>
      <c r="DD136" s="131">
        <f>SUMIF($E$4:$E$127,"510",$DD$4:$DD$127)</f>
        <v>0</v>
      </c>
      <c r="DE136" s="131">
        <f>SUMIF($E$4:$E$127,"510",$DE$4:$DE$127)</f>
        <v>0</v>
      </c>
      <c r="DF136" s="131">
        <f>SUMIF($E$4:$E$127,"510",$DF$4:$DF$127)</f>
        <v>0</v>
      </c>
      <c r="DG136" s="131">
        <f>SUMIF($E$4:$E$127,"510",$DG$4:$DG$127)</f>
        <v>0</v>
      </c>
      <c r="DH136" s="131">
        <f>SUMIF($E$4:$E$127,"510",$DH$4:$DH$127)</f>
        <v>0</v>
      </c>
      <c r="DI136" s="131">
        <f>SUMIF($E$4:$E$127,"510",$DI$4:$DI$127)</f>
        <v>73388915</v>
      </c>
    </row>
    <row r="137" spans="3:113" x14ac:dyDescent="0.25">
      <c r="C137" s="133"/>
      <c r="D137" s="122" t="s">
        <v>367</v>
      </c>
      <c r="E137" s="115">
        <v>520</v>
      </c>
      <c r="F137" s="123"/>
      <c r="G137" s="124">
        <f>SUMIF($E$4:$E$127,"520",$G$4:$G$127)</f>
        <v>1683497241</v>
      </c>
      <c r="H137" s="125">
        <f>SUMIF($E$4:$E$127,"520",$H$4:$H$127)</f>
        <v>0</v>
      </c>
      <c r="I137" s="125">
        <f>SUMIF($E$4:$E$127,"520",$I$4:$I$127)</f>
        <v>0</v>
      </c>
      <c r="J137" s="124">
        <f>SUMIF($E$4:$E$127,"520",$J$4:$J$127)</f>
        <v>0</v>
      </c>
      <c r="K137" s="123">
        <f>SUMIF($E$4:$E$127,"520",$K$4:$K$127)</f>
        <v>520000000</v>
      </c>
      <c r="L137" s="123">
        <f>SUMIF($E$4:$E$127,"520",$L$4:$L$127)</f>
        <v>50000000</v>
      </c>
      <c r="M137" s="123">
        <f>SUMIF($E$4:$E$127,"520",$M$4:$M$127)</f>
        <v>0</v>
      </c>
      <c r="N137" s="123">
        <f>SUMIF($E$4:$E$127,"520",$N$4:$N$127)</f>
        <v>0</v>
      </c>
      <c r="O137" s="123">
        <f>SUMIF($E$4:$E$127,"520",$O$4:$O$127)</f>
        <v>0</v>
      </c>
      <c r="P137" s="123">
        <f>SUMIF($E$4:$E$127,"520",$P$4:$P$127)</f>
        <v>0</v>
      </c>
      <c r="Q137" s="123">
        <f>SUMIF($E$4:$E$127,"520",$Q$4:$Q$127)</f>
        <v>0</v>
      </c>
      <c r="R137" s="123">
        <f>SUMIF($E$4:$E$127,"520",$R$4:$R$127)</f>
        <v>244000000</v>
      </c>
      <c r="S137" s="123">
        <f>SUMIF($E$4:$E$127,"520",$S$4:$S$127)</f>
        <v>333901442</v>
      </c>
      <c r="T137" s="123">
        <f>SUMIF($E$4:$E$127,"520",$T$4:$T$127)</f>
        <v>0</v>
      </c>
      <c r="U137" s="123">
        <f>SUMIF($E$4:$E$127,"520",$U$4:$U$127)</f>
        <v>0</v>
      </c>
      <c r="V137" s="123">
        <f>SUMIF($E$4:$E$119,"520",$V$4:$V$119)</f>
        <v>0</v>
      </c>
      <c r="W137" s="123"/>
      <c r="X137" s="123">
        <f>SUMIF($E$4:$E$127,"520",$X$4:$X$127)</f>
        <v>0</v>
      </c>
      <c r="Y137" s="123">
        <f>SUMIF($E$4:$E$127,"520",$Y$4:$Y$127)</f>
        <v>0</v>
      </c>
      <c r="Z137" s="123">
        <f>SUMIF($E$4:$E$127,"520",$Z$4:$Z$127)</f>
        <v>535595799</v>
      </c>
      <c r="AB137" s="126">
        <f t="shared" si="164"/>
        <v>0.79636670340108984</v>
      </c>
      <c r="AC137" s="30">
        <f t="shared" si="165"/>
        <v>1340681148</v>
      </c>
      <c r="AD137" s="124">
        <f>SUMIF($E$4:$E$127,"520",$AD$4:$AD$127)</f>
        <v>0</v>
      </c>
      <c r="AE137" s="124">
        <f>SUMIF($E$4:$E$127,"520",$AE$4:$AE$127)</f>
        <v>0</v>
      </c>
      <c r="AF137" s="124">
        <f>SUMIF($E$4:$E$127,"520",$AF$4:$AF$127)</f>
        <v>0</v>
      </c>
      <c r="AG137" s="124">
        <f>SUMIF($E$4:$E$127,"520",$AG$4:$AG$127)</f>
        <v>0</v>
      </c>
      <c r="AH137" s="124">
        <f>SUMIF($E$4:$E$127,"520",$AH$4:$AH$127)</f>
        <v>349598967</v>
      </c>
      <c r="AI137" s="124">
        <f>SUMIF($E$4:$E$127,"520",$AI$4:$AI$127)</f>
        <v>49214507</v>
      </c>
      <c r="AJ137" s="124">
        <f>SUMIF($E$4:$E$127,"520",$AJ$4:$AJ$127)</f>
        <v>0</v>
      </c>
      <c r="AK137" s="124">
        <f>SUMIF($E$4:$E$127,"520",$AK$4:$AK$127)</f>
        <v>0</v>
      </c>
      <c r="AL137" s="124">
        <f>SUMIF($E$4:$E$127,"520",$AL$4:$AL$127)</f>
        <v>0</v>
      </c>
      <c r="AM137" s="124">
        <f>SUMIF($E$4:$E$127,"520",$AM$4:$AM$127)</f>
        <v>0</v>
      </c>
      <c r="AN137" s="124">
        <f>SUMIF($E$4:$E$127,"520",$AN$4:$AN$127)</f>
        <v>0</v>
      </c>
      <c r="AO137" s="124">
        <f>SUMIF($E$4:$E$127,"520",$AO$4:$AO$127)</f>
        <v>187101991</v>
      </c>
      <c r="AP137" s="124">
        <f>SUMIF($E$4:$E$127,"520",$AP$4:$AP$127)</f>
        <v>261050876</v>
      </c>
      <c r="AQ137" s="124">
        <f>SUMIF($E$4:$E$127,"520",$AQ$4:$AQ$127)</f>
        <v>0</v>
      </c>
      <c r="AR137" s="124">
        <f>SUMIF($E$4:$E$127,"520",$AR$4:$AR$127)</f>
        <v>0</v>
      </c>
      <c r="AS137" s="124">
        <f>SUMIF($E$4:$E$127,"520",$AS$4:$AS$127)</f>
        <v>0</v>
      </c>
      <c r="AT137" s="124">
        <f>SUMIF($E$4:$E$127,"520",$AT$4:$AT$127)</f>
        <v>0</v>
      </c>
      <c r="AU137" s="124">
        <f>SUMIF($E$4:$E$127,"520",$AU$4:$AU$127)</f>
        <v>0</v>
      </c>
      <c r="AV137" s="124">
        <f>SUMIF($E$4:$E$127,"520",$AV$4:$AV$127)</f>
        <v>0</v>
      </c>
      <c r="AW137" s="124">
        <f>SUMIF($E$4:$E$127,"520",$AW$4:$AW$127)</f>
        <v>493714807</v>
      </c>
      <c r="AX137" s="109">
        <f t="shared" si="166"/>
        <v>0.20363329659891016</v>
      </c>
      <c r="AY137" s="30">
        <f t="shared" si="167"/>
        <v>342816093</v>
      </c>
      <c r="AZ137" s="127">
        <f>SUMIF($E$4:$E$127,"520",$AZ$4:$AZ$127)</f>
        <v>0</v>
      </c>
      <c r="BA137" s="127">
        <f>SUMIF($E$4:$E$127,"520",$BA$4:$BA$127)</f>
        <v>0</v>
      </c>
      <c r="BB137" s="127">
        <f>SUMIF($E$4:$E$127,"520",$BB$4:$BB$127)</f>
        <v>0</v>
      </c>
      <c r="BC137" s="127">
        <f>SUMIF($E$4:$E$127,"520",$BC$4:$BC$127)</f>
        <v>170401033</v>
      </c>
      <c r="BD137" s="127">
        <f>SUMIF($E$4:$E$127,"520",$BD$4:$BD$127)</f>
        <v>785493</v>
      </c>
      <c r="BE137" s="127">
        <f>SUMIF($E$4:$E$127,"520",$BE$4:$BE$127)</f>
        <v>0</v>
      </c>
      <c r="BF137" s="127">
        <f>SUMIF($E$4:$E$127,"520",$BF$4:$BF$127)</f>
        <v>0</v>
      </c>
      <c r="BG137" s="127">
        <f>SUMIF($E$4:$E$127,"520",$BG$4:$BG$127)</f>
        <v>0</v>
      </c>
      <c r="BH137" s="127">
        <f>SUMIF($E$4:$E$127,"520",$BH$4:$BH$127)</f>
        <v>0</v>
      </c>
      <c r="BI137" s="127">
        <f>SUMIF($E$4:$E$127,"520",$BI$4:$BI$127)</f>
        <v>0</v>
      </c>
      <c r="BJ137" s="127">
        <f>SUMIF($E$4:$E$127,"520",$BJ$4:$BJ$127)</f>
        <v>56898009</v>
      </c>
      <c r="BK137" s="127">
        <f>SUMIF($E$4:$E$127,"520",$BK$4:$BK$127)</f>
        <v>72850566</v>
      </c>
      <c r="BL137" s="127">
        <f>SUMIF($E$4:$E$127,"520",$BL$4:$BL$127)</f>
        <v>0</v>
      </c>
      <c r="BM137" s="127">
        <f>SUMIF($E$4:$E$127,"520",$BM$4:$BM$127)</f>
        <v>0</v>
      </c>
      <c r="BN137" s="127">
        <f>SUMIF($E$4:$E$127,"111",$BN$4:$BN$127)</f>
        <v>0</v>
      </c>
      <c r="BO137" s="127"/>
      <c r="BP137" s="127">
        <f>SUMIF($E$4:$E$127,"520",$BP$4:$BP$127)</f>
        <v>0</v>
      </c>
      <c r="BQ137" s="127">
        <f>SUMIF($E$4:$E$127,"520",$BQ$4:$BQ$127)</f>
        <v>0</v>
      </c>
      <c r="BR137" s="128">
        <f>SUMIF($E$4:$E$127,"520",$BR$4:$BR$127)</f>
        <v>41880992</v>
      </c>
      <c r="BS137" s="129">
        <f t="shared" si="168"/>
        <v>0.73669382449555199</v>
      </c>
      <c r="BT137" s="30">
        <f t="shared" si="169"/>
        <v>1240222021</v>
      </c>
      <c r="BU137" s="124">
        <f>SUMIF($E$4:$E$127,"520",$BU$4:$BU$127)</f>
        <v>0</v>
      </c>
      <c r="BV137" s="124">
        <f>SUMIF($E$4:$E$127,"520",$BV$4:$BV$127)</f>
        <v>0</v>
      </c>
      <c r="BW137" s="124">
        <f>SUMIF($E$4:$E$127,"520",$BW$4:$BW$127)</f>
        <v>0</v>
      </c>
      <c r="BX137" s="124">
        <f>SUMIF($E$4:$E$127,"520",$BX$4:$BX$127)</f>
        <v>0</v>
      </c>
      <c r="BY137" s="124">
        <f>SUMIF($E$4:$E$127,"520",$BY$4:$BY$127)</f>
        <v>310663409</v>
      </c>
      <c r="BZ137" s="124">
        <f>SUMIF($E$4:$E$127,"520",$BZ$4:$BZ$127)</f>
        <v>49214507</v>
      </c>
      <c r="CA137" s="124">
        <f>SUMIF($E$4:$E$127,"520",$CA$4:$CA$127)</f>
        <v>0</v>
      </c>
      <c r="CB137" s="124">
        <f>SUMIF($E$4:$E$127,"520",$CB$4:$CB$127)</f>
        <v>0</v>
      </c>
      <c r="CC137" s="124">
        <f>SUMIF($E$4:$E$127,"520",$CC$4:$CC$127)</f>
        <v>0</v>
      </c>
      <c r="CD137" s="124">
        <f>SUMIF($E$4:$E$127,"520",$CD$4:$CD$127)</f>
        <v>0</v>
      </c>
      <c r="CE137" s="124">
        <f>SUMIF($E$4:$E$127,"520",$CE$4:$CE$127)</f>
        <v>0</v>
      </c>
      <c r="CF137" s="124">
        <f>SUMIF($E$4:$E$127,"520",$CF$4:$CF$127)</f>
        <v>185375614</v>
      </c>
      <c r="CG137" s="124">
        <f>SUMIF($E$4:$E$127,"520",$CG$4:$CG$127)</f>
        <v>247744258</v>
      </c>
      <c r="CH137" s="124">
        <f>SUMIF($E$4:$E$127,"520",$CH$4:$CH$127)</f>
        <v>0</v>
      </c>
      <c r="CI137" s="124">
        <f>SUMIF($E$4:$E$127,"520",$CI$4:$CI$127)</f>
        <v>0</v>
      </c>
      <c r="CJ137" s="124">
        <f>SUMIF($E$4:$E$127,"520",$CJ$4:$CJ$127)</f>
        <v>0</v>
      </c>
      <c r="CK137" s="124">
        <f>SUMIF($E$4:$E$127,"111",$CK$4:$CK$127)</f>
        <v>0</v>
      </c>
      <c r="CL137" s="124">
        <f>SUMIF($E$4:$E$127,"520",$CL$4:$CL$127)</f>
        <v>0</v>
      </c>
      <c r="CM137" s="124">
        <f>SUMIF($E$4:$E$127,"520",$CM$4:$CM$127)</f>
        <v>0</v>
      </c>
      <c r="CN137" s="130">
        <f>SUMIF($E$4:$E$127,"520",$CN$4:$CN$127)</f>
        <v>447224233</v>
      </c>
      <c r="CO137" s="27">
        <f t="shared" si="170"/>
        <v>0.26330617550444801</v>
      </c>
      <c r="CP137" s="30">
        <f t="shared" si="171"/>
        <v>443275220</v>
      </c>
      <c r="CQ137" s="127">
        <f>SUMIF($E$4:$E$127,"520",$CQ$4:$CQ$127)</f>
        <v>0</v>
      </c>
      <c r="CR137" s="127">
        <f>SUMIF($E$4:$E$127,"520",$CR$4:$CR$127)</f>
        <v>0</v>
      </c>
      <c r="CS137" s="127">
        <f>SUMIF($E$4:$E$127,"520",$CS$4:$CS$127)</f>
        <v>0</v>
      </c>
      <c r="CT137" s="127">
        <f>SUMIF($E$4:$E$127,"520",$CT$4:$CT$127)</f>
        <v>209336591</v>
      </c>
      <c r="CU137" s="127">
        <f>SUMIF($E$4:$E$127,"520",$CU$4:$CU$127)</f>
        <v>785493</v>
      </c>
      <c r="CV137" s="127">
        <f>SUMIF($E$4:$E$127,"520",$CV$4:$CV$127)</f>
        <v>0</v>
      </c>
      <c r="CW137" s="131">
        <f>SUMIF($E$4:$E$127,"520",$CW$4:$CW$127)</f>
        <v>0</v>
      </c>
      <c r="CX137" s="131">
        <f>SUMIF($E$4:$E$127,"520",$CX$4:$CX$127)</f>
        <v>0</v>
      </c>
      <c r="CY137" s="131">
        <f>SUMIF($E$4:$E$127,"520",$CY$4:$CY$127)</f>
        <v>0</v>
      </c>
      <c r="CZ137" s="131">
        <f>SUMIF($E$4:$E$127,"520",$CZ$4:$CZ$127)</f>
        <v>0</v>
      </c>
      <c r="DA137" s="131">
        <f>SUMIF($E$4:$E$127,"520",$DA$4:$DA$127)</f>
        <v>58624386</v>
      </c>
      <c r="DB137" s="131">
        <f>SUMIF($E$4:$E$127,"520",$DB$4:$DB$127)</f>
        <v>86157184</v>
      </c>
      <c r="DC137" s="131">
        <f>SUMIF($E$4:$E$127,"520",$DC$4:$DC$127)</f>
        <v>0</v>
      </c>
      <c r="DD137" s="131">
        <f>SUMIF($E$4:$E$127,"520",$DD$4:$DD$127)</f>
        <v>0</v>
      </c>
      <c r="DE137" s="131">
        <f>SUMIF($E$4:$E$127,"520",$DE$4:$DE$127)</f>
        <v>0</v>
      </c>
      <c r="DF137" s="131">
        <f>SUMIF($E$4:$E$127,"520",$DF$4:$DF$127)</f>
        <v>0</v>
      </c>
      <c r="DG137" s="131">
        <f>SUMIF($E$4:$E$127,"520",$DG$4:$DG$127)</f>
        <v>0</v>
      </c>
      <c r="DH137" s="131">
        <f>SUMIF($E$4:$E$127,"520",$DH$4:$DH$127)</f>
        <v>0</v>
      </c>
      <c r="DI137" s="131">
        <f>SUMIF($E$4:$E$127,"520",$DI$4:$DI$127)</f>
        <v>88371566</v>
      </c>
    </row>
    <row r="138" spans="3:113" x14ac:dyDescent="0.25">
      <c r="C138" s="133"/>
      <c r="D138" s="122" t="s">
        <v>368</v>
      </c>
      <c r="E138" s="115" t="s">
        <v>340</v>
      </c>
      <c r="F138" s="123"/>
      <c r="G138" s="124">
        <f>SUMIF($E$4:$E$127,"520-2",$G$4:$G$127)</f>
        <v>3185000000</v>
      </c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3">
        <f>SUMIF($E$4:$E$127,"520-2",$T$4:$T$127)</f>
        <v>485000000</v>
      </c>
      <c r="U138" s="125"/>
      <c r="V138" s="125"/>
      <c r="W138" s="125"/>
      <c r="X138" s="123">
        <f>SUMIF($E$4:$E$127,"520-2",$X$4:$X$127)</f>
        <v>2700000000</v>
      </c>
      <c r="Y138" s="125"/>
      <c r="Z138" s="123">
        <f>SUMIF($E$4:$E$127,"520-2",$Z$4:$Z$127)</f>
        <v>0</v>
      </c>
      <c r="AB138" s="126">
        <f t="shared" si="164"/>
        <v>1</v>
      </c>
      <c r="AC138" s="30">
        <f t="shared" si="165"/>
        <v>3185000000</v>
      </c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>
        <f>SUMIF($E$4:$E$127,"520-2",$AQ$4:$AQ$127)</f>
        <v>485000000</v>
      </c>
      <c r="AR138" s="124"/>
      <c r="AS138" s="124"/>
      <c r="AT138" s="124">
        <f>SUMIF($E$4:$E$127,"520-2",$AT$4:$AT$127)</f>
        <v>0</v>
      </c>
      <c r="AU138" s="124">
        <f>SUMIF($E$4:$E$127,"520-2",$AU$4:$AU$127)</f>
        <v>2700000000</v>
      </c>
      <c r="AV138" s="124"/>
      <c r="AW138" s="124"/>
      <c r="AX138" s="109">
        <f t="shared" si="166"/>
        <v>0</v>
      </c>
      <c r="AY138" s="30">
        <f t="shared" si="167"/>
        <v>0</v>
      </c>
      <c r="AZ138" s="127"/>
      <c r="BA138" s="127"/>
      <c r="BB138" s="127"/>
      <c r="BC138" s="127"/>
      <c r="BD138" s="127"/>
      <c r="BE138" s="127"/>
      <c r="BF138" s="127"/>
      <c r="BG138" s="127"/>
      <c r="BH138" s="127"/>
      <c r="BI138" s="127"/>
      <c r="BJ138" s="127"/>
      <c r="BK138" s="127"/>
      <c r="BL138" s="127">
        <f>SUMIF($E$4:$E$127,"520-2",$BL$4:$BL$127)</f>
        <v>0</v>
      </c>
      <c r="BM138" s="127"/>
      <c r="BN138" s="127"/>
      <c r="BO138" s="127"/>
      <c r="BP138" s="127">
        <f>SUMIF($E$4:$E$127,"520-2",$BP$4:$BP$127)</f>
        <v>0</v>
      </c>
      <c r="BQ138" s="127"/>
      <c r="BR138" s="128"/>
      <c r="BS138" s="129">
        <f t="shared" si="168"/>
        <v>0.28313953406593406</v>
      </c>
      <c r="BT138" s="30">
        <f>SUM(BU138:CN138)</f>
        <v>901799416</v>
      </c>
      <c r="BU138" s="130"/>
      <c r="BV138" s="130"/>
      <c r="BW138" s="130"/>
      <c r="BX138" s="130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>
        <f>SUMIF($E$4:$E$127,"520-2",$CH$4:$CH$127)</f>
        <v>472748357</v>
      </c>
      <c r="CI138" s="124"/>
      <c r="CJ138" s="124"/>
      <c r="CK138" s="124">
        <f>SUMIF($E$4:$E$127,"111",$CK$4:$CK$127)</f>
        <v>0</v>
      </c>
      <c r="CL138" s="124">
        <f>SUMIF($E$4:$E$127,"520-2",$CL$4:$CL$127)</f>
        <v>429051059</v>
      </c>
      <c r="CM138" s="124"/>
      <c r="CN138" s="130"/>
      <c r="CO138" s="27">
        <f t="shared" si="170"/>
        <v>0.71686046593406594</v>
      </c>
      <c r="CP138" s="30">
        <f t="shared" si="171"/>
        <v>2283200584</v>
      </c>
      <c r="CQ138" s="128"/>
      <c r="CR138" s="128"/>
      <c r="CS138" s="128"/>
      <c r="CT138" s="127"/>
      <c r="CU138" s="127"/>
      <c r="CV138" s="127"/>
      <c r="CW138" s="131"/>
      <c r="CX138" s="131"/>
      <c r="CY138" s="131"/>
      <c r="CZ138" s="131"/>
      <c r="DA138" s="131"/>
      <c r="DB138" s="131"/>
      <c r="DC138" s="131">
        <f>SUMIF($E$4:$E$127,"520-2",$DC$4:$DC$127)</f>
        <v>12251643</v>
      </c>
      <c r="DD138" s="131"/>
      <c r="DE138" s="131"/>
      <c r="DF138" s="131">
        <f>SUMIF($E$4:$E$127,"520-2",$DF$4:$DF$127)</f>
        <v>0</v>
      </c>
      <c r="DG138" s="131">
        <f>SUMIF($E$4:$E$127,"520-2",$DG$4:$DG$127)</f>
        <v>2270948941</v>
      </c>
      <c r="DH138" s="131"/>
      <c r="DI138" s="131"/>
    </row>
    <row r="139" spans="3:113" x14ac:dyDescent="0.25">
      <c r="C139" s="133"/>
      <c r="D139" s="122" t="s">
        <v>369</v>
      </c>
      <c r="E139" s="1"/>
      <c r="F139" s="135"/>
      <c r="G139" s="136">
        <f t="shared" ref="G139:Z139" si="172">SUM(G132:G138)</f>
        <v>20107905349</v>
      </c>
      <c r="H139" s="136">
        <f t="shared" si="172"/>
        <v>0</v>
      </c>
      <c r="I139" s="136">
        <f t="shared" si="172"/>
        <v>8458835637</v>
      </c>
      <c r="J139" s="136">
        <f t="shared" si="172"/>
        <v>171003327</v>
      </c>
      <c r="K139" s="136">
        <f t="shared" si="172"/>
        <v>1899736650</v>
      </c>
      <c r="L139" s="136">
        <f t="shared" si="172"/>
        <v>138372986</v>
      </c>
      <c r="M139" s="136">
        <f t="shared" si="172"/>
        <v>54387</v>
      </c>
      <c r="N139" s="136">
        <f t="shared" si="172"/>
        <v>30665828</v>
      </c>
      <c r="O139" s="136">
        <f t="shared" si="172"/>
        <v>1940856</v>
      </c>
      <c r="P139" s="136">
        <f t="shared" si="172"/>
        <v>3438802</v>
      </c>
      <c r="Q139" s="136">
        <f t="shared" si="172"/>
        <v>345941457</v>
      </c>
      <c r="R139" s="136">
        <f t="shared" si="172"/>
        <v>2046332849</v>
      </c>
      <c r="S139" s="136">
        <f t="shared" si="172"/>
        <v>1142029623</v>
      </c>
      <c r="T139" s="136">
        <f t="shared" si="172"/>
        <v>486796640</v>
      </c>
      <c r="U139" s="136">
        <f t="shared" si="172"/>
        <v>1054833768</v>
      </c>
      <c r="V139" s="136">
        <f t="shared" si="172"/>
        <v>0</v>
      </c>
      <c r="W139" s="136">
        <f t="shared" si="172"/>
        <v>51295383</v>
      </c>
      <c r="X139" s="136">
        <f t="shared" si="172"/>
        <v>2700000000</v>
      </c>
      <c r="Y139" s="136">
        <f t="shared" si="172"/>
        <v>204741836</v>
      </c>
      <c r="Z139" s="136">
        <f t="shared" si="172"/>
        <v>1371885320</v>
      </c>
      <c r="AA139" s="137">
        <f>SUM(AA132:AA137)</f>
        <v>0</v>
      </c>
      <c r="AB139" s="126">
        <f t="shared" si="164"/>
        <v>0.78789983864668922</v>
      </c>
      <c r="AC139" s="136">
        <f t="shared" ref="AC139:AW139" si="173">SUM(AC132:AC138)</f>
        <v>15843015380</v>
      </c>
      <c r="AD139" s="136">
        <f t="shared" si="173"/>
        <v>0</v>
      </c>
      <c r="AE139" s="136">
        <f t="shared" si="173"/>
        <v>0</v>
      </c>
      <c r="AF139" s="136">
        <f t="shared" si="173"/>
        <v>6187253098</v>
      </c>
      <c r="AG139" s="136">
        <f t="shared" si="173"/>
        <v>52484687</v>
      </c>
      <c r="AH139" s="136">
        <f t="shared" si="173"/>
        <v>1555661793</v>
      </c>
      <c r="AI139" s="136">
        <f t="shared" si="173"/>
        <v>106280280</v>
      </c>
      <c r="AJ139" s="136">
        <f t="shared" si="173"/>
        <v>0</v>
      </c>
      <c r="AK139" s="136">
        <f t="shared" si="173"/>
        <v>0</v>
      </c>
      <c r="AL139" s="136">
        <f t="shared" si="173"/>
        <v>0</v>
      </c>
      <c r="AM139" s="136">
        <f t="shared" si="173"/>
        <v>0</v>
      </c>
      <c r="AN139" s="136">
        <f t="shared" si="173"/>
        <v>164856575</v>
      </c>
      <c r="AO139" s="136">
        <f t="shared" si="173"/>
        <v>1950159311</v>
      </c>
      <c r="AP139" s="136">
        <f t="shared" si="173"/>
        <v>838849102</v>
      </c>
      <c r="AQ139" s="136">
        <f t="shared" si="173"/>
        <v>486796640</v>
      </c>
      <c r="AR139" s="136">
        <f t="shared" si="173"/>
        <v>832240418</v>
      </c>
      <c r="AS139" s="136">
        <f t="shared" si="173"/>
        <v>0</v>
      </c>
      <c r="AT139" s="136">
        <f t="shared" si="173"/>
        <v>51295383</v>
      </c>
      <c r="AU139" s="136">
        <f t="shared" si="173"/>
        <v>2700000000</v>
      </c>
      <c r="AV139" s="136">
        <f t="shared" si="173"/>
        <v>114321836</v>
      </c>
      <c r="AW139" s="136">
        <f t="shared" si="173"/>
        <v>802816257</v>
      </c>
      <c r="AX139" s="109">
        <f t="shared" si="166"/>
        <v>0.21210016135331078</v>
      </c>
      <c r="AY139" s="138">
        <f t="shared" ref="AY139:BR139" si="174">SUM(AY132:AY138)</f>
        <v>4264889969</v>
      </c>
      <c r="AZ139" s="138">
        <f t="shared" si="174"/>
        <v>0</v>
      </c>
      <c r="BA139" s="138">
        <f t="shared" si="174"/>
        <v>2271582539</v>
      </c>
      <c r="BB139" s="138">
        <f t="shared" si="174"/>
        <v>118518640</v>
      </c>
      <c r="BC139" s="138">
        <f t="shared" si="174"/>
        <v>344074857</v>
      </c>
      <c r="BD139" s="138">
        <f t="shared" si="174"/>
        <v>32092706</v>
      </c>
      <c r="BE139" s="138">
        <f t="shared" si="174"/>
        <v>54387</v>
      </c>
      <c r="BF139" s="138">
        <f t="shared" si="174"/>
        <v>30665828</v>
      </c>
      <c r="BG139" s="138">
        <f t="shared" si="174"/>
        <v>1940856</v>
      </c>
      <c r="BH139" s="138">
        <f t="shared" si="174"/>
        <v>3438802</v>
      </c>
      <c r="BI139" s="138">
        <f t="shared" si="174"/>
        <v>181084882</v>
      </c>
      <c r="BJ139" s="138">
        <f t="shared" si="174"/>
        <v>96173538</v>
      </c>
      <c r="BK139" s="138">
        <f t="shared" si="174"/>
        <v>303180521</v>
      </c>
      <c r="BL139" s="138">
        <f t="shared" si="174"/>
        <v>0</v>
      </c>
      <c r="BM139" s="138">
        <f t="shared" si="174"/>
        <v>222593350</v>
      </c>
      <c r="BN139" s="138">
        <f t="shared" si="174"/>
        <v>0</v>
      </c>
      <c r="BO139" s="138">
        <f t="shared" si="174"/>
        <v>0</v>
      </c>
      <c r="BP139" s="138">
        <f t="shared" si="174"/>
        <v>0</v>
      </c>
      <c r="BQ139" s="138">
        <f t="shared" si="174"/>
        <v>90420000</v>
      </c>
      <c r="BR139" s="138">
        <f t="shared" si="174"/>
        <v>569069063</v>
      </c>
      <c r="BS139" s="129">
        <f t="shared" si="168"/>
        <v>0.50921649526807711</v>
      </c>
      <c r="BT139" s="30">
        <f t="shared" ref="BT139:CN139" si="175">SUM(BT132:BT138)</f>
        <v>10239277089</v>
      </c>
      <c r="BU139" s="30">
        <f t="shared" si="175"/>
        <v>0</v>
      </c>
      <c r="BV139" s="30">
        <f t="shared" si="175"/>
        <v>0</v>
      </c>
      <c r="BW139" s="30">
        <f t="shared" si="175"/>
        <v>4209298530</v>
      </c>
      <c r="BX139" s="30">
        <f t="shared" si="175"/>
        <v>45348340</v>
      </c>
      <c r="BY139" s="30">
        <f t="shared" si="175"/>
        <v>1318852937</v>
      </c>
      <c r="BZ139" s="30">
        <f t="shared" si="175"/>
        <v>98718903</v>
      </c>
      <c r="CA139" s="30">
        <f t="shared" si="175"/>
        <v>0</v>
      </c>
      <c r="CB139" s="30">
        <f t="shared" si="175"/>
        <v>0</v>
      </c>
      <c r="CC139" s="30">
        <f t="shared" si="175"/>
        <v>0</v>
      </c>
      <c r="CD139" s="30">
        <f t="shared" si="175"/>
        <v>0</v>
      </c>
      <c r="CE139" s="30">
        <f t="shared" si="175"/>
        <v>94856575</v>
      </c>
      <c r="CF139" s="30">
        <f t="shared" si="175"/>
        <v>1270822002</v>
      </c>
      <c r="CG139" s="30">
        <f t="shared" si="175"/>
        <v>801245279</v>
      </c>
      <c r="CH139" s="30">
        <f t="shared" si="175"/>
        <v>474544997</v>
      </c>
      <c r="CI139" s="30">
        <f t="shared" si="175"/>
        <v>766242889</v>
      </c>
      <c r="CJ139" s="30">
        <f t="shared" si="175"/>
        <v>0</v>
      </c>
      <c r="CK139" s="30">
        <f t="shared" si="175"/>
        <v>0</v>
      </c>
      <c r="CL139" s="30">
        <f t="shared" si="175"/>
        <v>429051059</v>
      </c>
      <c r="CM139" s="30">
        <f t="shared" si="175"/>
        <v>23350298</v>
      </c>
      <c r="CN139" s="30">
        <f t="shared" si="175"/>
        <v>706945280</v>
      </c>
      <c r="CO139" s="27">
        <f t="shared" si="170"/>
        <v>0.49078350473192289</v>
      </c>
      <c r="CP139" s="136">
        <f t="shared" ref="CP139:DI139" ca="1" si="176">SUM(CP132:CP138)</f>
        <v>9868628260</v>
      </c>
      <c r="CQ139" s="136">
        <f t="shared" ca="1" si="176"/>
        <v>0</v>
      </c>
      <c r="CR139" s="136">
        <f t="shared" si="176"/>
        <v>4249537107</v>
      </c>
      <c r="CS139" s="136">
        <f t="shared" si="176"/>
        <v>125654987</v>
      </c>
      <c r="CT139" s="136">
        <f t="shared" si="176"/>
        <v>580883713</v>
      </c>
      <c r="CU139" s="136">
        <f t="shared" si="176"/>
        <v>39654083</v>
      </c>
      <c r="CV139" s="136">
        <f t="shared" si="176"/>
        <v>54387</v>
      </c>
      <c r="CW139" s="136">
        <f t="shared" si="176"/>
        <v>30665828</v>
      </c>
      <c r="CX139" s="136">
        <f t="shared" si="176"/>
        <v>1940856</v>
      </c>
      <c r="CY139" s="136">
        <f t="shared" si="176"/>
        <v>3438802</v>
      </c>
      <c r="CZ139" s="136">
        <f t="shared" si="176"/>
        <v>251084882</v>
      </c>
      <c r="DA139" s="136">
        <f t="shared" si="176"/>
        <v>775510847</v>
      </c>
      <c r="DB139" s="136">
        <f t="shared" si="176"/>
        <v>340784344</v>
      </c>
      <c r="DC139" s="136">
        <f t="shared" si="176"/>
        <v>12251643</v>
      </c>
      <c r="DD139" s="136">
        <f t="shared" si="176"/>
        <v>288590879</v>
      </c>
      <c r="DE139" s="136">
        <f t="shared" si="176"/>
        <v>0</v>
      </c>
      <c r="DF139" s="136">
        <f t="shared" si="176"/>
        <v>51295383</v>
      </c>
      <c r="DG139" s="136">
        <f t="shared" si="176"/>
        <v>2270948941</v>
      </c>
      <c r="DH139" s="136">
        <f t="shared" si="176"/>
        <v>181391538</v>
      </c>
      <c r="DI139" s="136">
        <f t="shared" si="176"/>
        <v>664940040</v>
      </c>
    </row>
    <row r="140" spans="3:113" x14ac:dyDescent="0.25">
      <c r="C140" s="133"/>
      <c r="D140" s="122" t="s">
        <v>259</v>
      </c>
      <c r="E140" s="139">
        <v>301</v>
      </c>
      <c r="F140" s="123"/>
      <c r="G140" s="124">
        <f>SUMIF($E$4:$E$127,"301",$G$4:$G$127)</f>
        <v>2606465655</v>
      </c>
      <c r="H140" s="125">
        <f>SUMIF($E$4:$E$127,"301",$H$4:$H$127)</f>
        <v>200000000</v>
      </c>
      <c r="I140" s="125">
        <f>SUMIF($E$4:$E$127,"301",$I$4:$I$127)</f>
        <v>268168096</v>
      </c>
      <c r="J140" s="124">
        <f>SUMIF($E$4:$E$127,"301",$J$4:$J$127)</f>
        <v>0</v>
      </c>
      <c r="K140" s="123">
        <f>SUMIF($E$4:$E$127,"301",$K$4:$K$127)</f>
        <v>701280247</v>
      </c>
      <c r="L140" s="123">
        <f>SUMIF($E$4:$E$127,"301",$L$4:$L$127)</f>
        <v>0</v>
      </c>
      <c r="M140" s="123">
        <f>SUMIF($E$4:$E$127,"301",$M$4:$M$127)</f>
        <v>0</v>
      </c>
      <c r="N140" s="123">
        <f>SUMIF($E$4:$E$127,"301",$N$4:$N$127)</f>
        <v>0</v>
      </c>
      <c r="O140" s="123">
        <f>SUMIF($E$4:$E$127,"301",$O$4:$O$127)</f>
        <v>0</v>
      </c>
      <c r="P140" s="123">
        <f>SUMIF($E$4:$E$127,"301",$P$4:$P$127)</f>
        <v>0</v>
      </c>
      <c r="Q140" s="123">
        <f>SUMIF($E$4:$E$127,"301",$Q$4:$Q$127)</f>
        <v>0</v>
      </c>
      <c r="R140" s="123">
        <f>SUMIF($E$4:$E$127,"301",$R$4:$R$127)</f>
        <v>0</v>
      </c>
      <c r="S140" s="123">
        <f>SUMIF($E$4:$E$127,"301",$S$4:$S$127)</f>
        <v>0</v>
      </c>
      <c r="T140" s="123">
        <f>SUMIF($E$4:$E$127,"301",$T$4:$T$127)</f>
        <v>0</v>
      </c>
      <c r="U140" s="123">
        <f>SUMIF($E$4:$E$127,"301",$U$4:$U$127)</f>
        <v>103185104</v>
      </c>
      <c r="V140" s="123">
        <f>SUMIF($E$4:$E$119,"301",$V$4:$V$119)</f>
        <v>1262551657</v>
      </c>
      <c r="W140" s="123"/>
      <c r="X140" s="123">
        <f>SUMIF($E$4:$E$119,"301",$X$4:$X$119)</f>
        <v>0</v>
      </c>
      <c r="Y140" s="123">
        <f>SUMIF($E$4:$E$127,"301",$Y$4:$Y$127)</f>
        <v>0</v>
      </c>
      <c r="Z140" s="123">
        <f>SUMIF($E$4:$E$127,"301",$Z$4:$Z$127)</f>
        <v>71280551</v>
      </c>
      <c r="AB140" s="126">
        <f t="shared" si="164"/>
        <v>0.86550847645832496</v>
      </c>
      <c r="AC140" s="30">
        <f>SUM(AE140:AW140)</f>
        <v>2255918118</v>
      </c>
      <c r="AD140" s="124">
        <f>SUMIF($E$4:$E$127,"301",$AD$4:$AD$127)</f>
        <v>0</v>
      </c>
      <c r="AE140" s="124">
        <f>SUMIF($E$4:$E$127,"301",$AE$4:$AE$127)</f>
        <v>200000000</v>
      </c>
      <c r="AF140" s="124">
        <f>SUMIF($E$4:$E$127,"301",$AF$4:$AF$127)</f>
        <v>268168096</v>
      </c>
      <c r="AG140" s="124">
        <f>SUMIF($E$4:$E$127,"301",$AG$4:$AG$127)</f>
        <v>0</v>
      </c>
      <c r="AH140" s="124">
        <f>SUMIF($E$4:$E$127,"301",$AH$4:$AH$127)</f>
        <v>701280247</v>
      </c>
      <c r="AI140" s="124">
        <f>SUMIF($E$4:$E$127,"301",$AI$4:$AI$127)</f>
        <v>0</v>
      </c>
      <c r="AJ140" s="124">
        <f>SUMIF($E$4:$E$127,"301",$AJ$4:$AJ$127)</f>
        <v>0</v>
      </c>
      <c r="AK140" s="124">
        <f>SUMIF($E$4:$E$127,"301",$AK$4:$AK$127)</f>
        <v>0</v>
      </c>
      <c r="AL140" s="124">
        <f>SUMIF($E$4:$E$127,"301",$AL$4:$AL$127)</f>
        <v>0</v>
      </c>
      <c r="AM140" s="124">
        <f>SUMIF($E$4:$E$127,"301",$AM$4:$AM$127)</f>
        <v>0</v>
      </c>
      <c r="AN140" s="124">
        <f>SUMIF($E$4:$E$127,"301",$AN$4:$AN$127)</f>
        <v>0</v>
      </c>
      <c r="AO140" s="124">
        <f>SUMIF($E$4:$E$127,"301",$AO$4:$AO$127)</f>
        <v>0</v>
      </c>
      <c r="AP140" s="124">
        <f>SUMIF($E$4:$E$127,"301",$AP$4:$AP$127)</f>
        <v>0</v>
      </c>
      <c r="AQ140" s="124">
        <f>SUMIF($E$4:$E$127,"301",$AQ$4:$AQ$127)</f>
        <v>0</v>
      </c>
      <c r="AR140" s="124">
        <f>SUMIF($E$4:$E$127,"301",$AR$4:$AR$127)</f>
        <v>47258973</v>
      </c>
      <c r="AS140" s="124">
        <f>SUMIF($E$4:$E$127,"301",$AS$4:$AS$127)</f>
        <v>1011320055</v>
      </c>
      <c r="AT140" s="124">
        <f>SUMIF($E$4:$E$127,"301",$AT$4:$AT$127)</f>
        <v>0</v>
      </c>
      <c r="AU140" s="124">
        <f>SUMIF($E$4:$E$127,"301",$AU$4:$AU$127)</f>
        <v>0</v>
      </c>
      <c r="AV140" s="124">
        <f>SUMIF($E$4:$E$127,"301",$AV$4:$AV$127)</f>
        <v>0</v>
      </c>
      <c r="AW140" s="124">
        <f>SUMIF($E$4:$E$127,"301",$AW$4:$AW$127)</f>
        <v>27890747</v>
      </c>
      <c r="AX140" s="109">
        <f t="shared" si="166"/>
        <v>0.13449152354167504</v>
      </c>
      <c r="AY140" s="30">
        <f>SUM(AZ140:BR140)</f>
        <v>350547537</v>
      </c>
      <c r="AZ140" s="127">
        <f>SUMIF($E$4:$E$127,"301",$AZ$4:$AZ$127)</f>
        <v>0</v>
      </c>
      <c r="BA140" s="127">
        <f>SUMIF($E$4:$E$127,"301",$BA$4:$BA$127)</f>
        <v>0</v>
      </c>
      <c r="BB140" s="127">
        <f>SUMIF($E$4:$E$127,"301",$BB$4:$BB$127)</f>
        <v>0</v>
      </c>
      <c r="BC140" s="127">
        <f>SUMIF($E$4:$E$127,"301",$BC$4:$BC$127)</f>
        <v>0</v>
      </c>
      <c r="BD140" s="127">
        <f>SUMIF($E$4:$E$127,"301",$BD$4:$BD$127)</f>
        <v>0</v>
      </c>
      <c r="BE140" s="127">
        <f>SUMIF($E$4:$E$127,"301",$BE$4:$BE$127)</f>
        <v>0</v>
      </c>
      <c r="BF140" s="127">
        <f>SUMIF($E$4:$E$127,"301",$BF$4:$BF$127)</f>
        <v>0</v>
      </c>
      <c r="BG140" s="127">
        <f>SUMIF($E$4:$E$127,"301",$BG$4:$BG$127)</f>
        <v>0</v>
      </c>
      <c r="BH140" s="127">
        <f>SUMIF($E$4:$E$127,"301",$BH$4:$BH$127)</f>
        <v>0</v>
      </c>
      <c r="BI140" s="127">
        <f>SUMIF($E$4:$E$127,"301",$BI$4:$BI$127)</f>
        <v>0</v>
      </c>
      <c r="BJ140" s="127">
        <f>SUMIF($E$4:$E$127,"301",$BJ$4:$BJ$127)</f>
        <v>0</v>
      </c>
      <c r="BK140" s="127">
        <f>SUMIF($E$4:$E$127,"301",$BK$4:$BK$127)</f>
        <v>0</v>
      </c>
      <c r="BL140" s="127">
        <f>SUMIF($E$4:$E$127,"301",$BL$4:$BL$127)</f>
        <v>0</v>
      </c>
      <c r="BM140" s="127">
        <f>SUMIF($E$4:$E$127,"301",$BM$4:$BM$127)</f>
        <v>55926131</v>
      </c>
      <c r="BN140" s="127">
        <f>SUMIF($E$4:$E$127,"301",$BN$4:$BN$127)</f>
        <v>251231602</v>
      </c>
      <c r="BO140" s="127"/>
      <c r="BP140" s="127">
        <f>SUMIF($E$4:$E$127,"301",$BP$4:$BP$127)</f>
        <v>0</v>
      </c>
      <c r="BQ140" s="127"/>
      <c r="BR140" s="128">
        <f>SUMIF($E$4:$E$127,"301",$BR$4:$BR$127)</f>
        <v>43389804</v>
      </c>
      <c r="BS140" s="129">
        <f t="shared" si="168"/>
        <v>0.83144427851668734</v>
      </c>
      <c r="BT140" s="30">
        <f>SUM(BV140:CN140)</f>
        <v>2167130956</v>
      </c>
      <c r="BU140" s="124">
        <f>SUMIF($E$4:$E$127,"111",$BU$4:$BU$127)</f>
        <v>0</v>
      </c>
      <c r="BV140" s="124">
        <f>SUMIF($E$4:$E$127,"301",$BV$4:$BV$127)</f>
        <v>198408143</v>
      </c>
      <c r="BW140" s="124">
        <f>SUMIF($E$4:$E$127,"301",$BW$4:$BW$127)</f>
        <v>268168096</v>
      </c>
      <c r="BX140" s="124">
        <f>SUMIF($E$4:$E$127,"301",$BX$4:$BX$127)</f>
        <v>0</v>
      </c>
      <c r="BY140" s="124">
        <f>SUMIF($E$4:$E$127,"301",$BY$4:$BY$127)</f>
        <v>701280247</v>
      </c>
      <c r="BZ140" s="124">
        <f>SUMIF($E$4:$E$127,"301",$BZ$4:$BZ$127)</f>
        <v>0</v>
      </c>
      <c r="CA140" s="124">
        <f>SUMIF($E$4:$E$127,"301",$CA$4:$CA$127)</f>
        <v>0</v>
      </c>
      <c r="CB140" s="124">
        <f>SUMIF($E$4:$E$127,"301",$CB$4:$CB$127)</f>
        <v>0</v>
      </c>
      <c r="CC140" s="124">
        <f>SUMIF($E$4:$E$127,"301",$CC$4:$CC$127)</f>
        <v>0</v>
      </c>
      <c r="CD140" s="124">
        <f>SUMIF($E$4:$E$127,"301",$CD$4:$CD$127)</f>
        <v>0</v>
      </c>
      <c r="CE140" s="124">
        <f>SUMIF($E$4:$E$127,"301",$CE$4:$CE$127)</f>
        <v>0</v>
      </c>
      <c r="CF140" s="124">
        <f>SUMIF($E$4:$E$127,"301",$CF$4:$CF$127)</f>
        <v>0</v>
      </c>
      <c r="CG140" s="124">
        <f>SUMIF($E$4:$E$127,"301",$CG$4:$CG$127)</f>
        <v>0</v>
      </c>
      <c r="CH140" s="124">
        <f>SUMIF($E$4:$E$127,"301",$CH$4:$CH$127)</f>
        <v>0</v>
      </c>
      <c r="CI140" s="124">
        <f>SUMIF($E$4:$E$127,"301",$CI$4:$CI$127)</f>
        <v>47258973</v>
      </c>
      <c r="CJ140" s="124">
        <f>SUMIF($E$4:$E$127,"301",$CJ$4:$CJ$127)</f>
        <v>925219270</v>
      </c>
      <c r="CK140" s="124">
        <f>SUMIF($E$4:$E$127,"301",$CK$4:$CK$127)</f>
        <v>0</v>
      </c>
      <c r="CL140" s="124">
        <f>SUMIF($E$4:$E$127,"301",$CL$4:$CL$127)</f>
        <v>0</v>
      </c>
      <c r="CM140" s="124">
        <f>SUMIF($E$4:$E$127,"301",$CM$4:$CM$127)</f>
        <v>0</v>
      </c>
      <c r="CN140" s="130">
        <f>SUMIF($E$4:$E$127,"301",$CN$4:$CN$127)</f>
        <v>26796227</v>
      </c>
      <c r="CO140" s="27">
        <f t="shared" si="170"/>
        <v>0.16855572148331266</v>
      </c>
      <c r="CP140" s="30">
        <f>SUM(CQ140:DI140)</f>
        <v>439334699</v>
      </c>
      <c r="CQ140" s="127">
        <f>SUMIF($E$4:$E$127,"301",$CQ$4:$CQ$127)</f>
        <v>1591857</v>
      </c>
      <c r="CR140" s="127">
        <f>SUMIF($E$4:$E$127,"301",$CR$4:$CR$127)</f>
        <v>0</v>
      </c>
      <c r="CS140" s="127">
        <f>SUMIF($E$4:$E$127,"301",$CS$4:$CS$127)</f>
        <v>0</v>
      </c>
      <c r="CT140" s="127">
        <f>SUMIF($E$4:$E$127,"301",$CT$4:$CT$127)</f>
        <v>0</v>
      </c>
      <c r="CU140" s="127">
        <f>SUMIF($E$4:$E$127,"301",$CU$4:$CU$127)</f>
        <v>0</v>
      </c>
      <c r="CV140" s="127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1">
        <f>SUMIF($E$4:$E$127,"301",$CZ$4:$CZ$127)</f>
        <v>0</v>
      </c>
      <c r="DA140" s="131">
        <f>SUMIF($E$4:$E$127,"301",$DA$4:$DA$127)</f>
        <v>0</v>
      </c>
      <c r="DB140" s="131">
        <f>SUMIF($E$4:$E$127,"301",$DB$4:$DB$127)</f>
        <v>0</v>
      </c>
      <c r="DC140" s="131">
        <f>SUMIF($E$4:$E$127,"301",$DC$4:$DC$127)</f>
        <v>0</v>
      </c>
      <c r="DD140" s="131">
        <f>SUMIF($E$4:$E$127,"301",$DD$4:$DD$127)</f>
        <v>55926131</v>
      </c>
      <c r="DE140" s="131">
        <f>SUMIF($E$4:$E$127,"301",$DE$4:$DE$127)</f>
        <v>337332387</v>
      </c>
      <c r="DF140" s="131">
        <f>SUMIF($E$4:$E$127,"301",$DF$4:$DF$127)</f>
        <v>0</v>
      </c>
      <c r="DG140" s="131">
        <f>SUMIF($E$4:$E$127,"301",$DG$4:$DG$127)</f>
        <v>0</v>
      </c>
      <c r="DH140" s="131">
        <f>SUMIF($E$4:$E$127,"301",$DH$4:$DH$127)</f>
        <v>0</v>
      </c>
      <c r="DI140" s="131">
        <f>SUMIF($E$4:$E$127,"301",$DI$4:$DI$127)</f>
        <v>44484324</v>
      </c>
    </row>
    <row r="141" spans="3:113" ht="15.75" thickBot="1" x14ac:dyDescent="0.3">
      <c r="C141" s="213" t="s">
        <v>370</v>
      </c>
      <c r="D141" s="214"/>
      <c r="E141" s="140"/>
      <c r="F141" s="141"/>
      <c r="G141" s="142">
        <f t="shared" ref="G141:AA141" si="177">SUM(G139:G140)</f>
        <v>22714371004</v>
      </c>
      <c r="H141" s="142">
        <f t="shared" si="177"/>
        <v>200000000</v>
      </c>
      <c r="I141" s="142">
        <f t="shared" si="177"/>
        <v>8727003733</v>
      </c>
      <c r="J141" s="142">
        <f t="shared" si="177"/>
        <v>171003327</v>
      </c>
      <c r="K141" s="142">
        <f t="shared" si="177"/>
        <v>2601016897</v>
      </c>
      <c r="L141" s="142">
        <f t="shared" si="177"/>
        <v>138372986</v>
      </c>
      <c r="M141" s="142">
        <f t="shared" si="177"/>
        <v>54387</v>
      </c>
      <c r="N141" s="142">
        <f t="shared" si="177"/>
        <v>30665828</v>
      </c>
      <c r="O141" s="142">
        <f t="shared" si="177"/>
        <v>1940856</v>
      </c>
      <c r="P141" s="142">
        <f t="shared" si="177"/>
        <v>3438802</v>
      </c>
      <c r="Q141" s="142">
        <f t="shared" si="177"/>
        <v>345941457</v>
      </c>
      <c r="R141" s="142">
        <f t="shared" si="177"/>
        <v>2046332849</v>
      </c>
      <c r="S141" s="142">
        <f t="shared" si="177"/>
        <v>1142029623</v>
      </c>
      <c r="T141" s="143">
        <f t="shared" si="177"/>
        <v>486796640</v>
      </c>
      <c r="U141" s="142">
        <f t="shared" si="177"/>
        <v>1158018872</v>
      </c>
      <c r="V141" s="142">
        <f t="shared" si="177"/>
        <v>1262551657</v>
      </c>
      <c r="W141" s="142">
        <f t="shared" si="177"/>
        <v>51295383</v>
      </c>
      <c r="X141" s="142">
        <f t="shared" si="177"/>
        <v>2700000000</v>
      </c>
      <c r="Y141" s="142">
        <f t="shared" si="177"/>
        <v>204741836</v>
      </c>
      <c r="Z141" s="142">
        <f t="shared" si="177"/>
        <v>1443165871</v>
      </c>
      <c r="AA141" s="142">
        <f t="shared" si="177"/>
        <v>0</v>
      </c>
      <c r="AB141" s="144">
        <f t="shared" si="164"/>
        <v>0.79680540107462272</v>
      </c>
      <c r="AC141" s="145">
        <f t="shared" ref="AC141:AW141" si="178">AC139+AC140</f>
        <v>18098933498</v>
      </c>
      <c r="AD141" s="145">
        <f t="shared" si="178"/>
        <v>0</v>
      </c>
      <c r="AE141" s="145">
        <f t="shared" si="178"/>
        <v>200000000</v>
      </c>
      <c r="AF141" s="145">
        <f t="shared" si="178"/>
        <v>6455421194</v>
      </c>
      <c r="AG141" s="145">
        <f t="shared" si="178"/>
        <v>52484687</v>
      </c>
      <c r="AH141" s="145">
        <f t="shared" si="178"/>
        <v>2256942040</v>
      </c>
      <c r="AI141" s="145">
        <f t="shared" si="178"/>
        <v>106280280</v>
      </c>
      <c r="AJ141" s="145">
        <f t="shared" si="178"/>
        <v>0</v>
      </c>
      <c r="AK141" s="145">
        <f t="shared" si="178"/>
        <v>0</v>
      </c>
      <c r="AL141" s="145">
        <f t="shared" si="178"/>
        <v>0</v>
      </c>
      <c r="AM141" s="145">
        <f t="shared" si="178"/>
        <v>0</v>
      </c>
      <c r="AN141" s="145">
        <f t="shared" si="178"/>
        <v>164856575</v>
      </c>
      <c r="AO141" s="145">
        <f t="shared" si="178"/>
        <v>1950159311</v>
      </c>
      <c r="AP141" s="145">
        <f t="shared" si="178"/>
        <v>838849102</v>
      </c>
      <c r="AQ141" s="145">
        <f t="shared" si="178"/>
        <v>486796640</v>
      </c>
      <c r="AR141" s="145">
        <f t="shared" si="178"/>
        <v>879499391</v>
      </c>
      <c r="AS141" s="145">
        <f t="shared" si="178"/>
        <v>1011320055</v>
      </c>
      <c r="AT141" s="145">
        <f t="shared" si="178"/>
        <v>51295383</v>
      </c>
      <c r="AU141" s="145">
        <f t="shared" si="178"/>
        <v>2700000000</v>
      </c>
      <c r="AV141" s="145">
        <f t="shared" si="178"/>
        <v>114321836</v>
      </c>
      <c r="AW141" s="145">
        <f t="shared" si="178"/>
        <v>830707004</v>
      </c>
      <c r="AX141" s="109">
        <f t="shared" si="166"/>
        <v>0.20319459892537728</v>
      </c>
      <c r="AY141" s="145">
        <f>AY139+AY140</f>
        <v>4615437506</v>
      </c>
      <c r="AZ141" s="145">
        <f>AZ139+AZ140</f>
        <v>0</v>
      </c>
      <c r="BA141" s="146">
        <f t="shared" ref="BA141:BR141" si="179">+BA139+BA140</f>
        <v>2271582539</v>
      </c>
      <c r="BB141" s="146">
        <f t="shared" si="179"/>
        <v>118518640</v>
      </c>
      <c r="BC141" s="146">
        <f t="shared" si="179"/>
        <v>344074857</v>
      </c>
      <c r="BD141" s="146">
        <f t="shared" si="179"/>
        <v>32092706</v>
      </c>
      <c r="BE141" s="146">
        <f t="shared" si="179"/>
        <v>54387</v>
      </c>
      <c r="BF141" s="146">
        <f t="shared" si="179"/>
        <v>30665828</v>
      </c>
      <c r="BG141" s="146">
        <f t="shared" si="179"/>
        <v>1940856</v>
      </c>
      <c r="BH141" s="146">
        <f t="shared" si="179"/>
        <v>3438802</v>
      </c>
      <c r="BI141" s="146">
        <f t="shared" si="179"/>
        <v>181084882</v>
      </c>
      <c r="BJ141" s="146">
        <f t="shared" si="179"/>
        <v>96173538</v>
      </c>
      <c r="BK141" s="146">
        <f t="shared" si="179"/>
        <v>303180521</v>
      </c>
      <c r="BL141" s="146">
        <f t="shared" si="179"/>
        <v>0</v>
      </c>
      <c r="BM141" s="146">
        <f t="shared" si="179"/>
        <v>278519481</v>
      </c>
      <c r="BN141" s="146">
        <f t="shared" si="179"/>
        <v>251231602</v>
      </c>
      <c r="BO141" s="146">
        <f t="shared" si="179"/>
        <v>0</v>
      </c>
      <c r="BP141" s="146">
        <f t="shared" si="179"/>
        <v>0</v>
      </c>
      <c r="BQ141" s="146">
        <f t="shared" si="179"/>
        <v>90420000</v>
      </c>
      <c r="BR141" s="146">
        <f t="shared" si="179"/>
        <v>612458867</v>
      </c>
      <c r="BS141" s="147">
        <f t="shared" si="168"/>
        <v>0.54619201398159922</v>
      </c>
      <c r="BT141" s="148">
        <f>+BT139+BT140</f>
        <v>12406408045</v>
      </c>
      <c r="BU141" s="146">
        <f>+BU139+BU140</f>
        <v>0</v>
      </c>
      <c r="BV141" s="146">
        <f>+BV139+BV140</f>
        <v>198408143</v>
      </c>
      <c r="BW141" s="146">
        <f>+BW139+BW140</f>
        <v>4477466626</v>
      </c>
      <c r="BX141" s="146">
        <f>+BX139+BX140</f>
        <v>45348340</v>
      </c>
      <c r="BY141" s="142">
        <f t="shared" ref="BY141:CN141" si="180">SUM(BY139:BY140)</f>
        <v>2020133184</v>
      </c>
      <c r="BZ141" s="142">
        <f t="shared" si="180"/>
        <v>98718903</v>
      </c>
      <c r="CA141" s="142">
        <f t="shared" si="180"/>
        <v>0</v>
      </c>
      <c r="CB141" s="142">
        <f t="shared" si="180"/>
        <v>0</v>
      </c>
      <c r="CC141" s="142">
        <f t="shared" si="180"/>
        <v>0</v>
      </c>
      <c r="CD141" s="142">
        <f t="shared" si="180"/>
        <v>0</v>
      </c>
      <c r="CE141" s="142">
        <f t="shared" si="180"/>
        <v>94856575</v>
      </c>
      <c r="CF141" s="142">
        <f t="shared" si="180"/>
        <v>1270822002</v>
      </c>
      <c r="CG141" s="142">
        <f t="shared" si="180"/>
        <v>801245279</v>
      </c>
      <c r="CH141" s="142">
        <f t="shared" si="180"/>
        <v>474544997</v>
      </c>
      <c r="CI141" s="142">
        <f t="shared" si="180"/>
        <v>813501862</v>
      </c>
      <c r="CJ141" s="142">
        <f t="shared" si="180"/>
        <v>925219270</v>
      </c>
      <c r="CK141" s="142">
        <f t="shared" si="180"/>
        <v>0</v>
      </c>
      <c r="CL141" s="142">
        <f t="shared" si="180"/>
        <v>429051059</v>
      </c>
      <c r="CM141" s="142">
        <f t="shared" si="180"/>
        <v>23350298</v>
      </c>
      <c r="CN141" s="149">
        <f t="shared" si="180"/>
        <v>733741507</v>
      </c>
      <c r="CO141" s="150">
        <f t="shared" si="170"/>
        <v>0.45380798601840078</v>
      </c>
      <c r="CP141" s="142">
        <f t="shared" ref="CP141:DI141" ca="1" si="181">SUM(CP139:CP140)</f>
        <v>10307962959</v>
      </c>
      <c r="CQ141" s="149">
        <f t="shared" ca="1" si="181"/>
        <v>1591857</v>
      </c>
      <c r="CR141" s="149">
        <f t="shared" si="181"/>
        <v>4249537107</v>
      </c>
      <c r="CS141" s="149">
        <f t="shared" si="181"/>
        <v>125654987</v>
      </c>
      <c r="CT141" s="142">
        <f t="shared" si="181"/>
        <v>580883713</v>
      </c>
      <c r="CU141" s="142">
        <f t="shared" si="181"/>
        <v>39654083</v>
      </c>
      <c r="CV141" s="142">
        <f t="shared" si="181"/>
        <v>54387</v>
      </c>
      <c r="CW141" s="151">
        <f t="shared" si="181"/>
        <v>30665828</v>
      </c>
      <c r="CX141" s="151">
        <f t="shared" si="181"/>
        <v>1940856</v>
      </c>
      <c r="CY141" s="151">
        <f t="shared" si="181"/>
        <v>3438802</v>
      </c>
      <c r="CZ141" s="151">
        <f t="shared" si="181"/>
        <v>251084882</v>
      </c>
      <c r="DA141" s="151">
        <f t="shared" si="181"/>
        <v>775510847</v>
      </c>
      <c r="DB141" s="151">
        <f t="shared" si="181"/>
        <v>340784344</v>
      </c>
      <c r="DC141" s="151">
        <f t="shared" si="181"/>
        <v>12251643</v>
      </c>
      <c r="DD141" s="151">
        <f t="shared" si="181"/>
        <v>344517010</v>
      </c>
      <c r="DE141" s="151">
        <f t="shared" si="181"/>
        <v>337332387</v>
      </c>
      <c r="DF141" s="151">
        <f t="shared" si="181"/>
        <v>51295383</v>
      </c>
      <c r="DG141" s="151">
        <f t="shared" si="181"/>
        <v>2270948941</v>
      </c>
      <c r="DH141" s="151">
        <f t="shared" si="181"/>
        <v>181391538</v>
      </c>
      <c r="DI141" s="151">
        <f t="shared" si="181"/>
        <v>709424364</v>
      </c>
    </row>
    <row r="142" spans="3:113" ht="15.75" thickTop="1" x14ac:dyDescent="0.25">
      <c r="G142" s="54">
        <f>+G130-G141</f>
        <v>0</v>
      </c>
      <c r="H142" s="54">
        <f t="shared" ref="H142:V142" si="182">+H130-H141</f>
        <v>0</v>
      </c>
      <c r="I142" s="54">
        <f t="shared" si="182"/>
        <v>0</v>
      </c>
      <c r="J142" s="54">
        <f t="shared" si="182"/>
        <v>0</v>
      </c>
      <c r="K142" s="54">
        <f t="shared" si="182"/>
        <v>0</v>
      </c>
      <c r="L142" s="54">
        <f t="shared" si="182"/>
        <v>0</v>
      </c>
      <c r="M142" s="54">
        <f t="shared" si="182"/>
        <v>0</v>
      </c>
      <c r="N142" s="54">
        <f t="shared" si="182"/>
        <v>0</v>
      </c>
      <c r="O142" s="54">
        <f t="shared" si="182"/>
        <v>0</v>
      </c>
      <c r="P142" s="54">
        <f t="shared" si="182"/>
        <v>0</v>
      </c>
      <c r="Q142" s="54">
        <f t="shared" si="182"/>
        <v>0</v>
      </c>
      <c r="R142" s="54">
        <f t="shared" si="182"/>
        <v>0</v>
      </c>
      <c r="S142" s="54">
        <f t="shared" si="182"/>
        <v>0</v>
      </c>
      <c r="T142" s="54">
        <f t="shared" si="182"/>
        <v>0</v>
      </c>
      <c r="U142" s="54">
        <f t="shared" si="182"/>
        <v>0</v>
      </c>
      <c r="V142" s="54">
        <f t="shared" si="182"/>
        <v>0</v>
      </c>
      <c r="W142" s="54"/>
      <c r="X142" s="54">
        <f>+X130-X141</f>
        <v>0</v>
      </c>
      <c r="Y142" s="54">
        <f>+Y130-Y141</f>
        <v>0</v>
      </c>
      <c r="Z142" s="54">
        <f>+Z130-Z141</f>
        <v>0</v>
      </c>
      <c r="AC142" s="54">
        <f t="shared" ref="AC142:AS142" si="183">+AC130-AC141</f>
        <v>0</v>
      </c>
      <c r="AD142" s="54">
        <f t="shared" si="183"/>
        <v>0</v>
      </c>
      <c r="AE142" s="54">
        <f t="shared" si="183"/>
        <v>0</v>
      </c>
      <c r="AF142" s="54">
        <f t="shared" si="183"/>
        <v>0</v>
      </c>
      <c r="AG142" s="54">
        <f t="shared" si="183"/>
        <v>0</v>
      </c>
      <c r="AH142" s="54">
        <f t="shared" si="183"/>
        <v>0</v>
      </c>
      <c r="AI142" s="54">
        <f t="shared" si="183"/>
        <v>0</v>
      </c>
      <c r="AJ142" s="54">
        <f t="shared" si="183"/>
        <v>0</v>
      </c>
      <c r="AK142" s="54">
        <f t="shared" si="183"/>
        <v>0</v>
      </c>
      <c r="AL142" s="54">
        <f t="shared" si="183"/>
        <v>0</v>
      </c>
      <c r="AM142" s="54">
        <f t="shared" si="183"/>
        <v>0</v>
      </c>
      <c r="AN142" s="54">
        <f t="shared" si="183"/>
        <v>0</v>
      </c>
      <c r="AO142" s="54">
        <f t="shared" si="183"/>
        <v>0</v>
      </c>
      <c r="AP142" s="54">
        <f t="shared" si="183"/>
        <v>0</v>
      </c>
      <c r="AQ142" s="54">
        <f t="shared" si="183"/>
        <v>0</v>
      </c>
      <c r="AR142" s="54">
        <f t="shared" si="183"/>
        <v>0</v>
      </c>
      <c r="AS142" s="54">
        <f t="shared" si="183"/>
        <v>0</v>
      </c>
      <c r="AT142" s="54"/>
      <c r="AU142" s="54">
        <f>+AU130-AU141</f>
        <v>0</v>
      </c>
      <c r="AV142" s="54">
        <f>+AV130-AV141</f>
        <v>0</v>
      </c>
      <c r="AW142" s="54">
        <f>+AW130-AW141</f>
        <v>0</v>
      </c>
      <c r="AY142" s="54">
        <f>+AY130-AY141</f>
        <v>0</v>
      </c>
      <c r="AZ142" s="54">
        <f t="shared" ref="AZ142:BN142" si="184">+AZ130-AZ141</f>
        <v>0</v>
      </c>
      <c r="BA142" s="54">
        <f t="shared" si="184"/>
        <v>0</v>
      </c>
      <c r="BB142" s="54">
        <f t="shared" si="184"/>
        <v>0</v>
      </c>
      <c r="BC142" s="54">
        <f t="shared" si="184"/>
        <v>0</v>
      </c>
      <c r="BD142" s="54">
        <f t="shared" si="184"/>
        <v>0</v>
      </c>
      <c r="BE142" s="54">
        <f t="shared" si="184"/>
        <v>0</v>
      </c>
      <c r="BF142" s="54">
        <f t="shared" si="184"/>
        <v>0</v>
      </c>
      <c r="BG142" s="54">
        <f t="shared" si="184"/>
        <v>0</v>
      </c>
      <c r="BH142" s="54">
        <f t="shared" si="184"/>
        <v>0</v>
      </c>
      <c r="BI142" s="54">
        <f t="shared" si="184"/>
        <v>0</v>
      </c>
      <c r="BJ142" s="54">
        <f t="shared" si="184"/>
        <v>0</v>
      </c>
      <c r="BK142" s="54">
        <f t="shared" si="184"/>
        <v>0</v>
      </c>
      <c r="BL142" s="54">
        <f t="shared" si="184"/>
        <v>0</v>
      </c>
      <c r="BM142" s="54">
        <f t="shared" si="184"/>
        <v>0</v>
      </c>
      <c r="BN142" s="54">
        <f t="shared" si="184"/>
        <v>0</v>
      </c>
      <c r="BO142" s="54"/>
      <c r="BP142" s="54">
        <f>+BP130-BP141</f>
        <v>0</v>
      </c>
      <c r="BQ142" s="54">
        <f>+BQ130-BQ141</f>
        <v>0</v>
      </c>
      <c r="BR142" s="54">
        <f>+BR130-BR141</f>
        <v>0</v>
      </c>
      <c r="BT142" s="54">
        <f>+BT130-BT141</f>
        <v>0</v>
      </c>
      <c r="BU142" s="54"/>
      <c r="BV142" s="54">
        <f t="shared" ref="BV142:CN142" si="185">+BV130-BV141</f>
        <v>0</v>
      </c>
      <c r="BW142" s="54">
        <f t="shared" si="185"/>
        <v>0</v>
      </c>
      <c r="BX142" s="54">
        <f t="shared" si="185"/>
        <v>0</v>
      </c>
      <c r="BY142" s="54">
        <f t="shared" si="185"/>
        <v>0</v>
      </c>
      <c r="BZ142" s="54">
        <f t="shared" si="185"/>
        <v>0</v>
      </c>
      <c r="CA142" s="54">
        <f t="shared" si="185"/>
        <v>0</v>
      </c>
      <c r="CB142" s="54">
        <f t="shared" si="185"/>
        <v>0</v>
      </c>
      <c r="CC142" s="54">
        <f t="shared" si="185"/>
        <v>0</v>
      </c>
      <c r="CD142" s="54">
        <f t="shared" si="185"/>
        <v>0</v>
      </c>
      <c r="CE142" s="54">
        <f t="shared" si="185"/>
        <v>0</v>
      </c>
      <c r="CF142" s="54">
        <f t="shared" si="185"/>
        <v>0</v>
      </c>
      <c r="CG142" s="54">
        <f t="shared" si="185"/>
        <v>0</v>
      </c>
      <c r="CH142" s="54">
        <f t="shared" si="185"/>
        <v>0</v>
      </c>
      <c r="CI142" s="54">
        <f t="shared" si="185"/>
        <v>0</v>
      </c>
      <c r="CJ142" s="54">
        <f t="shared" si="185"/>
        <v>0</v>
      </c>
      <c r="CK142" s="54">
        <f t="shared" si="185"/>
        <v>0</v>
      </c>
      <c r="CL142" s="54">
        <f t="shared" si="185"/>
        <v>0</v>
      </c>
      <c r="CM142" s="54">
        <f t="shared" si="185"/>
        <v>0</v>
      </c>
      <c r="CN142" s="54">
        <f t="shared" si="185"/>
        <v>0</v>
      </c>
      <c r="CO142" s="54"/>
      <c r="CP142" s="54">
        <f ca="1">+CP130-CP141</f>
        <v>0</v>
      </c>
      <c r="CQ142" s="54">
        <f t="shared" ref="CQ142:DI142" ca="1" si="186">+CQ130-CQ141</f>
        <v>0</v>
      </c>
      <c r="CR142" s="54">
        <f t="shared" si="186"/>
        <v>0</v>
      </c>
      <c r="CS142" s="54">
        <f t="shared" si="186"/>
        <v>0</v>
      </c>
      <c r="CT142" s="54">
        <f t="shared" si="186"/>
        <v>0</v>
      </c>
      <c r="CU142" s="54">
        <f t="shared" si="186"/>
        <v>0</v>
      </c>
      <c r="CV142" s="54">
        <f t="shared" si="186"/>
        <v>0</v>
      </c>
      <c r="CW142" s="54">
        <f t="shared" si="186"/>
        <v>0</v>
      </c>
      <c r="CX142" s="54">
        <f t="shared" si="186"/>
        <v>0</v>
      </c>
      <c r="CY142" s="54">
        <f t="shared" si="186"/>
        <v>0</v>
      </c>
      <c r="CZ142" s="54">
        <f t="shared" si="186"/>
        <v>0</v>
      </c>
      <c r="DA142" s="54">
        <f t="shared" si="186"/>
        <v>0</v>
      </c>
      <c r="DB142" s="54">
        <f t="shared" si="186"/>
        <v>0</v>
      </c>
      <c r="DC142" s="54">
        <f t="shared" si="186"/>
        <v>0</v>
      </c>
      <c r="DD142" s="54">
        <f t="shared" si="186"/>
        <v>0</v>
      </c>
      <c r="DE142" s="54">
        <f t="shared" si="186"/>
        <v>0</v>
      </c>
      <c r="DF142" s="54">
        <f t="shared" si="186"/>
        <v>0</v>
      </c>
      <c r="DG142" s="54">
        <f t="shared" si="186"/>
        <v>0</v>
      </c>
      <c r="DH142" s="54">
        <f t="shared" si="186"/>
        <v>0</v>
      </c>
      <c r="DI142" s="54">
        <f t="shared" si="186"/>
        <v>0</v>
      </c>
    </row>
    <row r="143" spans="3:113" x14ac:dyDescent="0.25">
      <c r="F143" s="54"/>
    </row>
    <row r="144" spans="3:113" x14ac:dyDescent="0.25">
      <c r="F144" s="54"/>
      <c r="G144" s="54">
        <v>22714371004</v>
      </c>
      <c r="H144" s="54"/>
    </row>
  </sheetData>
  <mergeCells count="83">
    <mergeCell ref="CO1:CP2"/>
    <mergeCell ref="AV1:AW2"/>
    <mergeCell ref="AX1:AY2"/>
    <mergeCell ref="AZ1:BA2"/>
    <mergeCell ref="BS1:BT2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T1:T3"/>
    <mergeCell ref="U1:U3"/>
    <mergeCell ref="V1:V3"/>
    <mergeCell ref="W1:W3"/>
    <mergeCell ref="X1:X3"/>
    <mergeCell ref="Y1:Y3"/>
    <mergeCell ref="A122:A127"/>
    <mergeCell ref="B122:B124"/>
    <mergeCell ref="B128:D128"/>
    <mergeCell ref="C130:E130"/>
    <mergeCell ref="C141:D141"/>
    <mergeCell ref="G1:G3"/>
    <mergeCell ref="B91:F91"/>
    <mergeCell ref="A93:A107"/>
    <mergeCell ref="B93:B100"/>
    <mergeCell ref="B104:B106"/>
    <mergeCell ref="B108:F10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A48:A57"/>
    <mergeCell ref="B48:B49"/>
    <mergeCell ref="B50:B51"/>
    <mergeCell ref="B52:B57"/>
    <mergeCell ref="B58:E58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B4:B6"/>
    <mergeCell ref="B8:B12"/>
    <mergeCell ref="B14:B16"/>
    <mergeCell ref="B18:B19"/>
    <mergeCell ref="H1:H3"/>
    <mergeCell ref="I1:I3"/>
    <mergeCell ref="J1:J3"/>
    <mergeCell ref="K1:K3"/>
    <mergeCell ref="L1:L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P1:P3"/>
    <mergeCell ref="Q1:Q3"/>
    <mergeCell ref="R1:R3"/>
    <mergeCell ref="S1:S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152"/>
  <sheetViews>
    <sheetView showGridLines="0" tabSelected="1" zoomScaleNormal="100" zoomScalePageLayoutView="50" workbookViewId="0">
      <pane xSplit="3" ySplit="3" topLeftCell="E4" activePane="bottomRight" state="frozen"/>
      <selection activeCell="C1" sqref="C1"/>
      <selection pane="topRight" activeCell="D1" sqref="D1"/>
      <selection pane="bottomLeft" activeCell="C4" sqref="C4"/>
      <selection pane="bottomRight" activeCell="DL163" sqref="DL16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62.140625" bestFit="1" customWidth="1"/>
    <col min="5" max="5" width="6.28515625" customWidth="1"/>
    <col min="6" max="6" width="14.28515625" customWidth="1"/>
    <col min="7" max="7" width="13.7109375" bestFit="1" customWidth="1"/>
    <col min="8" max="8" width="11.42578125" hidden="1" customWidth="1"/>
    <col min="9" max="9" width="14.8554687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5" width="10.7109375" hidden="1" customWidth="1"/>
    <col min="16" max="16" width="11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28515625" hidden="1" customWidth="1"/>
    <col min="24" max="24" width="12.7109375" hidden="1" customWidth="1"/>
    <col min="25" max="26" width="12.28515625" hidden="1" customWidth="1"/>
    <col min="27" max="27" width="2" hidden="1" customWidth="1"/>
    <col min="28" max="28" width="10.42578125" customWidth="1"/>
    <col min="29" max="29" width="14.42578125" customWidth="1"/>
    <col min="30" max="30" width="14.42578125" hidden="1" customWidth="1"/>
    <col min="31" max="31" width="13.5703125" hidden="1" customWidth="1"/>
    <col min="32" max="32" width="14" hidden="1" customWidth="1"/>
    <col min="33" max="33" width="17.28515625" hidden="1" customWidth="1"/>
    <col min="34" max="34" width="16.140625" hidden="1" customWidth="1"/>
    <col min="35" max="36" width="15" hidden="1" customWidth="1"/>
    <col min="37" max="37" width="11.7109375" hidden="1" customWidth="1"/>
    <col min="38" max="38" width="13.28515625" hidden="1" customWidth="1"/>
    <col min="39" max="39" width="12.5703125" hidden="1" customWidth="1"/>
    <col min="40" max="40" width="14.42578125" hidden="1" customWidth="1"/>
    <col min="41" max="41" width="14.140625" hidden="1" customWidth="1"/>
    <col min="42" max="42" width="13.28515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.85546875" customWidth="1"/>
    <col min="51" max="51" width="12.7109375" bestFit="1" customWidth="1"/>
    <col min="52" max="52" width="14.5703125" hidden="1" customWidth="1"/>
    <col min="53" max="53" width="15.140625" hidden="1" customWidth="1"/>
    <col min="54" max="54" width="14.42578125" hidden="1" customWidth="1"/>
    <col min="55" max="55" width="11.28515625" hidden="1" customWidth="1"/>
    <col min="56" max="56" width="13.85546875" hidden="1" customWidth="1"/>
    <col min="57" max="57" width="10" hidden="1" customWidth="1"/>
    <col min="58" max="58" width="11" hidden="1" customWidth="1"/>
    <col min="59" max="60" width="9.28515625" hidden="1" customWidth="1"/>
    <col min="61" max="61" width="12.5703125" hidden="1" customWidth="1"/>
    <col min="62" max="62" width="13.5703125" hidden="1" customWidth="1"/>
    <col min="63" max="63" width="15.140625" hidden="1" customWidth="1"/>
    <col min="64" max="64" width="13.85546875" hidden="1" customWidth="1"/>
    <col min="65" max="65" width="15" hidden="1" customWidth="1"/>
    <col min="66" max="67" width="13.42578125" hidden="1" customWidth="1"/>
    <col min="68" max="68" width="13.5703125" hidden="1" customWidth="1"/>
    <col min="69" max="69" width="13.7109375" hidden="1" customWidth="1"/>
    <col min="70" max="70" width="14" hidden="1" customWidth="1"/>
    <col min="71" max="71" width="10.28515625" customWidth="1"/>
    <col min="72" max="72" width="14" customWidth="1"/>
    <col min="73" max="73" width="14" hidden="1" customWidth="1"/>
    <col min="74" max="74" width="12.28515625" hidden="1" customWidth="1"/>
    <col min="75" max="75" width="13.28515625" hidden="1" customWidth="1"/>
    <col min="76" max="76" width="14" hidden="1" customWidth="1"/>
    <col min="77" max="77" width="15.42578125" hidden="1" customWidth="1"/>
    <col min="78" max="78" width="15.28515625" hidden="1" customWidth="1"/>
    <col min="79" max="79" width="12.42578125" hidden="1" customWidth="1"/>
    <col min="80" max="80" width="11.7109375" hidden="1" customWidth="1"/>
    <col min="81" max="81" width="13.42578125" hidden="1" customWidth="1"/>
    <col min="82" max="82" width="11.42578125" hidden="1" customWidth="1"/>
    <col min="83" max="83" width="15.7109375" hidden="1" customWidth="1"/>
    <col min="84" max="84" width="16.28515625" hidden="1" customWidth="1"/>
    <col min="85" max="85" width="16.5703125" hidden="1" customWidth="1"/>
    <col min="86" max="86" width="17.140625" hidden="1" customWidth="1"/>
    <col min="87" max="87" width="13" hidden="1" customWidth="1"/>
    <col min="88" max="89" width="14.28515625" hidden="1" customWidth="1"/>
    <col min="90" max="90" width="13.7109375" hidden="1" customWidth="1"/>
    <col min="91" max="91" width="12.28515625" hidden="1" customWidth="1"/>
    <col min="92" max="92" width="13.42578125" hidden="1" customWidth="1"/>
    <col min="93" max="93" width="9.7109375" customWidth="1"/>
    <col min="94" max="94" width="15" customWidth="1"/>
    <col min="95" max="95" width="13.7109375" hidden="1" customWidth="1"/>
    <col min="96" max="96" width="14.42578125" hidden="1" customWidth="1"/>
    <col min="97" max="97" width="15.5703125" hidden="1" customWidth="1"/>
    <col min="98" max="100" width="13.5703125" hidden="1" customWidth="1"/>
    <col min="101" max="102" width="13.85546875" hidden="1" customWidth="1"/>
    <col min="103" max="103" width="11.42578125" hidden="1" customWidth="1"/>
    <col min="104" max="104" width="13.7109375" hidden="1" customWidth="1"/>
    <col min="105" max="105" width="13.85546875" hidden="1" customWidth="1"/>
    <col min="106" max="106" width="12.28515625" hidden="1" customWidth="1"/>
    <col min="107" max="107" width="13.85546875" hidden="1" customWidth="1"/>
    <col min="108" max="108" width="13.28515625" hidden="1" customWidth="1"/>
    <col min="109" max="110" width="14.42578125" hidden="1" customWidth="1"/>
    <col min="111" max="112" width="14.85546875" hidden="1" customWidth="1"/>
    <col min="113" max="113" width="13.5703125" hidden="1" customWidth="1"/>
    <col min="114" max="114" width="5.140625" customWidth="1"/>
    <col min="117" max="117" width="13.140625" customWidth="1"/>
    <col min="118" max="118" width="13.5703125" customWidth="1"/>
    <col min="119" max="119" width="14" customWidth="1"/>
  </cols>
  <sheetData>
    <row r="1" spans="1:119" ht="15" customHeight="1" x14ac:dyDescent="0.3">
      <c r="C1" s="158" t="s">
        <v>0</v>
      </c>
      <c r="D1" s="158"/>
      <c r="E1" s="158"/>
      <c r="F1" s="158"/>
      <c r="G1" s="215" t="s">
        <v>11</v>
      </c>
      <c r="H1" s="215" t="s">
        <v>11</v>
      </c>
      <c r="I1" s="215" t="s">
        <v>11</v>
      </c>
      <c r="J1" s="215" t="s">
        <v>11</v>
      </c>
      <c r="K1" s="215" t="s">
        <v>11</v>
      </c>
      <c r="L1" s="215" t="s">
        <v>11</v>
      </c>
      <c r="M1" s="215" t="s">
        <v>11</v>
      </c>
      <c r="N1" s="215" t="s">
        <v>11</v>
      </c>
      <c r="O1" s="215" t="s">
        <v>11</v>
      </c>
      <c r="P1" s="215" t="s">
        <v>11</v>
      </c>
      <c r="Q1" s="215" t="s">
        <v>11</v>
      </c>
      <c r="R1" s="215" t="s">
        <v>11</v>
      </c>
      <c r="S1" s="215" t="s">
        <v>11</v>
      </c>
      <c r="T1" s="215" t="s">
        <v>11</v>
      </c>
      <c r="U1" s="215" t="s">
        <v>11</v>
      </c>
      <c r="V1" s="215" t="s">
        <v>11</v>
      </c>
      <c r="W1" s="215" t="s">
        <v>11</v>
      </c>
      <c r="X1" s="215" t="s">
        <v>11</v>
      </c>
      <c r="Y1" s="215" t="s">
        <v>11</v>
      </c>
      <c r="Z1" s="215" t="s">
        <v>11</v>
      </c>
      <c r="AA1" s="215" t="s">
        <v>11</v>
      </c>
      <c r="AB1" s="218" t="s">
        <v>371</v>
      </c>
      <c r="AC1" s="219"/>
      <c r="AD1" s="218" t="s">
        <v>371</v>
      </c>
      <c r="AE1" s="219"/>
      <c r="AF1" s="218" t="s">
        <v>371</v>
      </c>
      <c r="AG1" s="219"/>
      <c r="AH1" s="218" t="s">
        <v>371</v>
      </c>
      <c r="AI1" s="219"/>
      <c r="AJ1" s="218" t="s">
        <v>371</v>
      </c>
      <c r="AK1" s="219"/>
      <c r="AL1" s="218" t="s">
        <v>371</v>
      </c>
      <c r="AM1" s="219"/>
      <c r="AN1" s="218" t="s">
        <v>371</v>
      </c>
      <c r="AO1" s="219"/>
      <c r="AP1" s="218" t="s">
        <v>371</v>
      </c>
      <c r="AQ1" s="219"/>
      <c r="AR1" s="218" t="s">
        <v>371</v>
      </c>
      <c r="AS1" s="219"/>
      <c r="AT1" s="218" t="s">
        <v>371</v>
      </c>
      <c r="AU1" s="219"/>
      <c r="AV1" s="218" t="s">
        <v>371</v>
      </c>
      <c r="AW1" s="219"/>
      <c r="AX1" s="223" t="s">
        <v>373</v>
      </c>
      <c r="AY1" s="224"/>
      <c r="AZ1" s="235" t="s">
        <v>374</v>
      </c>
      <c r="BA1" s="235"/>
      <c r="BB1" s="228"/>
      <c r="BC1" s="228"/>
      <c r="BD1" s="228"/>
      <c r="BE1" s="228"/>
      <c r="BF1" s="228"/>
      <c r="BG1" s="228"/>
      <c r="BH1" s="228"/>
      <c r="BI1" s="228"/>
      <c r="BJ1" s="228"/>
      <c r="BK1" s="228"/>
      <c r="BL1" s="228"/>
      <c r="BM1" s="228"/>
      <c r="BN1" s="228"/>
      <c r="BO1" s="228"/>
      <c r="BP1" s="228"/>
      <c r="BQ1" s="228"/>
      <c r="BR1" s="228"/>
      <c r="BS1" s="218" t="s">
        <v>374</v>
      </c>
      <c r="BT1" s="219"/>
      <c r="BU1" s="228"/>
      <c r="BV1" s="228"/>
      <c r="BW1" s="228"/>
      <c r="BX1" s="228"/>
      <c r="BY1" s="228"/>
      <c r="BZ1" s="228"/>
      <c r="CA1" s="228"/>
      <c r="CB1" s="228"/>
      <c r="CC1" s="228"/>
      <c r="CD1" s="228"/>
      <c r="CE1" s="228"/>
      <c r="CF1" s="228"/>
      <c r="CG1" s="228"/>
      <c r="CH1" s="228"/>
      <c r="CI1" s="228"/>
      <c r="CJ1" s="228"/>
      <c r="CK1" s="228"/>
      <c r="CL1" s="228"/>
      <c r="CM1" s="228"/>
      <c r="CN1" s="229"/>
      <c r="CO1" s="236" t="s">
        <v>375</v>
      </c>
      <c r="CP1" s="237"/>
      <c r="CQ1" s="228"/>
      <c r="CR1" s="228"/>
      <c r="CS1" s="228"/>
      <c r="CT1" s="228"/>
      <c r="CU1" s="228"/>
      <c r="CV1" s="228"/>
      <c r="CW1" s="228"/>
      <c r="CX1" s="228"/>
      <c r="CY1" s="228"/>
      <c r="CZ1" s="228"/>
      <c r="DA1" s="228"/>
      <c r="DB1" s="228"/>
      <c r="DC1" s="228"/>
      <c r="DD1" s="228"/>
      <c r="DE1" s="228"/>
      <c r="DF1" s="228"/>
      <c r="DG1" s="228"/>
      <c r="DH1" s="228"/>
      <c r="DI1" s="228"/>
    </row>
    <row r="2" spans="1:119" ht="22.5" customHeight="1" x14ac:dyDescent="0.25">
      <c r="A2" s="164" t="s">
        <v>5</v>
      </c>
      <c r="B2" s="164" t="s">
        <v>6</v>
      </c>
      <c r="C2" s="165" t="s">
        <v>7</v>
      </c>
      <c r="D2" s="164" t="s">
        <v>8</v>
      </c>
      <c r="E2" s="167" t="s">
        <v>9</v>
      </c>
      <c r="F2" s="180" t="s">
        <v>10</v>
      </c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20"/>
      <c r="AC2" s="221"/>
      <c r="AD2" s="220"/>
      <c r="AE2" s="221"/>
      <c r="AF2" s="220"/>
      <c r="AG2" s="221"/>
      <c r="AH2" s="220"/>
      <c r="AI2" s="221"/>
      <c r="AJ2" s="220"/>
      <c r="AK2" s="221"/>
      <c r="AL2" s="220"/>
      <c r="AM2" s="221"/>
      <c r="AN2" s="220"/>
      <c r="AO2" s="221"/>
      <c r="AP2" s="220"/>
      <c r="AQ2" s="221"/>
      <c r="AR2" s="220"/>
      <c r="AS2" s="221"/>
      <c r="AT2" s="220"/>
      <c r="AU2" s="221"/>
      <c r="AV2" s="220"/>
      <c r="AW2" s="221"/>
      <c r="AX2" s="225"/>
      <c r="AY2" s="226"/>
      <c r="AZ2" s="235"/>
      <c r="BA2" s="235"/>
      <c r="BB2" s="231"/>
      <c r="BC2" s="231"/>
      <c r="BD2" s="231"/>
      <c r="BE2" s="231"/>
      <c r="BF2" s="231"/>
      <c r="BG2" s="231"/>
      <c r="BH2" s="232"/>
      <c r="BI2" s="230" t="s">
        <v>13</v>
      </c>
      <c r="BJ2" s="231"/>
      <c r="BK2" s="231"/>
      <c r="BL2" s="231"/>
      <c r="BM2" s="231"/>
      <c r="BN2" s="231"/>
      <c r="BO2" s="231"/>
      <c r="BP2" s="231"/>
      <c r="BQ2" s="231"/>
      <c r="BR2" s="232"/>
      <c r="BS2" s="220"/>
      <c r="BT2" s="221"/>
      <c r="BU2" s="10"/>
      <c r="BV2" s="233" t="s">
        <v>14</v>
      </c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233" t="s">
        <v>14</v>
      </c>
      <c r="CH2" s="11"/>
      <c r="CI2" s="11"/>
      <c r="CJ2" s="11"/>
      <c r="CK2" s="11"/>
      <c r="CL2" s="11"/>
      <c r="CM2" s="11"/>
      <c r="CN2" s="234"/>
      <c r="CO2" s="238"/>
      <c r="CP2" s="239"/>
      <c r="CQ2" s="231"/>
      <c r="CR2" s="231"/>
      <c r="CS2" s="231"/>
      <c r="CT2" s="231"/>
      <c r="CU2" s="231"/>
      <c r="CV2" s="231"/>
      <c r="CW2" s="231"/>
      <c r="CX2" s="231"/>
      <c r="CY2" s="231"/>
      <c r="CZ2" s="231" t="s">
        <v>13</v>
      </c>
      <c r="DA2" s="231"/>
      <c r="DB2" s="231"/>
      <c r="DC2" s="231"/>
      <c r="DD2" s="231"/>
      <c r="DE2" s="231"/>
      <c r="DF2" s="231"/>
      <c r="DG2" s="231"/>
      <c r="DH2" s="231"/>
      <c r="DI2" s="232"/>
    </row>
    <row r="3" spans="1:119" ht="39" customHeight="1" x14ac:dyDescent="0.25">
      <c r="A3" s="164"/>
      <c r="B3" s="164"/>
      <c r="C3" s="166"/>
      <c r="D3" s="164"/>
      <c r="E3" s="168"/>
      <c r="F3" s="181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22" t="s">
        <v>35</v>
      </c>
      <c r="AC3" s="222" t="s">
        <v>372</v>
      </c>
      <c r="AD3" s="222" t="s">
        <v>35</v>
      </c>
      <c r="AE3" s="222" t="s">
        <v>372</v>
      </c>
      <c r="AF3" s="222" t="s">
        <v>35</v>
      </c>
      <c r="AG3" s="222" t="s">
        <v>372</v>
      </c>
      <c r="AH3" s="222" t="s">
        <v>35</v>
      </c>
      <c r="AI3" s="222" t="s">
        <v>372</v>
      </c>
      <c r="AJ3" s="222" t="s">
        <v>35</v>
      </c>
      <c r="AK3" s="222" t="s">
        <v>372</v>
      </c>
      <c r="AL3" s="222" t="s">
        <v>35</v>
      </c>
      <c r="AM3" s="222" t="s">
        <v>372</v>
      </c>
      <c r="AN3" s="222" t="s">
        <v>35</v>
      </c>
      <c r="AO3" s="222" t="s">
        <v>372</v>
      </c>
      <c r="AP3" s="222" t="s">
        <v>35</v>
      </c>
      <c r="AQ3" s="222" t="s">
        <v>372</v>
      </c>
      <c r="AR3" s="222" t="s">
        <v>35</v>
      </c>
      <c r="AS3" s="222" t="s">
        <v>372</v>
      </c>
      <c r="AT3" s="222" t="s">
        <v>35</v>
      </c>
      <c r="AU3" s="222" t="s">
        <v>372</v>
      </c>
      <c r="AV3" s="222" t="s">
        <v>35</v>
      </c>
      <c r="AW3" s="222" t="s">
        <v>372</v>
      </c>
      <c r="AX3" s="227" t="s">
        <v>35</v>
      </c>
      <c r="AY3" s="227" t="s">
        <v>372</v>
      </c>
      <c r="AZ3" s="222" t="s">
        <v>35</v>
      </c>
      <c r="BA3" s="222" t="s">
        <v>372</v>
      </c>
      <c r="BB3" s="18" t="s">
        <v>18</v>
      </c>
      <c r="BC3" s="18" t="s">
        <v>19</v>
      </c>
      <c r="BD3" s="18" t="s">
        <v>20</v>
      </c>
      <c r="BE3" s="18" t="s">
        <v>21</v>
      </c>
      <c r="BF3" s="18" t="s">
        <v>22</v>
      </c>
      <c r="BG3" s="18" t="s">
        <v>23</v>
      </c>
      <c r="BH3" s="18" t="s">
        <v>24</v>
      </c>
      <c r="BI3" s="18" t="s">
        <v>38</v>
      </c>
      <c r="BJ3" s="18" t="s">
        <v>26</v>
      </c>
      <c r="BK3" s="18" t="s">
        <v>27</v>
      </c>
      <c r="BL3" s="18" t="s">
        <v>28</v>
      </c>
      <c r="BM3" s="18" t="str">
        <f>+AR3</f>
        <v>%</v>
      </c>
      <c r="BN3" s="18" t="s">
        <v>30</v>
      </c>
      <c r="BO3" s="18" t="s">
        <v>31</v>
      </c>
      <c r="BP3" s="18" t="s">
        <v>32</v>
      </c>
      <c r="BQ3" s="18" t="s">
        <v>33</v>
      </c>
      <c r="BR3" s="18" t="s">
        <v>34</v>
      </c>
      <c r="BS3" s="222" t="s">
        <v>35</v>
      </c>
      <c r="BT3" s="222" t="s">
        <v>372</v>
      </c>
      <c r="BU3" s="15" t="s">
        <v>36</v>
      </c>
      <c r="BV3" s="15" t="s">
        <v>16</v>
      </c>
      <c r="BW3" s="15" t="s">
        <v>37</v>
      </c>
      <c r="BX3" s="15" t="s">
        <v>18</v>
      </c>
      <c r="BY3" s="15" t="s">
        <v>19</v>
      </c>
      <c r="BZ3" s="15" t="s">
        <v>20</v>
      </c>
      <c r="CA3" s="15" t="s">
        <v>21</v>
      </c>
      <c r="CB3" s="15" t="s">
        <v>22</v>
      </c>
      <c r="CC3" s="15" t="s">
        <v>23</v>
      </c>
      <c r="CD3" s="15" t="s">
        <v>24</v>
      </c>
      <c r="CE3" s="15" t="s">
        <v>38</v>
      </c>
      <c r="CF3" s="15" t="s">
        <v>26</v>
      </c>
      <c r="CG3" s="15" t="s">
        <v>27</v>
      </c>
      <c r="CH3" s="15" t="s">
        <v>28</v>
      </c>
      <c r="CI3" s="15" t="str">
        <f>+BM3</f>
        <v>%</v>
      </c>
      <c r="CJ3" s="15" t="s">
        <v>30</v>
      </c>
      <c r="CK3" s="15" t="s">
        <v>31</v>
      </c>
      <c r="CL3" s="15" t="s">
        <v>32</v>
      </c>
      <c r="CM3" s="15" t="s">
        <v>33</v>
      </c>
      <c r="CN3" s="15" t="s">
        <v>34</v>
      </c>
      <c r="CO3" s="227" t="s">
        <v>35</v>
      </c>
      <c r="CP3" s="227" t="s">
        <v>372</v>
      </c>
      <c r="CQ3" s="18" t="s">
        <v>16</v>
      </c>
      <c r="CR3" s="18" t="s">
        <v>37</v>
      </c>
      <c r="CS3" s="18" t="s">
        <v>18</v>
      </c>
      <c r="CT3" s="18" t="s">
        <v>19</v>
      </c>
      <c r="CU3" s="18" t="s">
        <v>20</v>
      </c>
      <c r="CV3" s="18" t="s">
        <v>21</v>
      </c>
      <c r="CW3" s="18" t="s">
        <v>22</v>
      </c>
      <c r="CX3" s="18" t="s">
        <v>23</v>
      </c>
      <c r="CY3" s="18" t="s">
        <v>24</v>
      </c>
      <c r="CZ3" s="18" t="s">
        <v>38</v>
      </c>
      <c r="DA3" s="18" t="s">
        <v>26</v>
      </c>
      <c r="DB3" s="18" t="s">
        <v>27</v>
      </c>
      <c r="DC3" s="18" t="s">
        <v>28</v>
      </c>
      <c r="DD3" s="19" t="str">
        <f>+CI3</f>
        <v>%</v>
      </c>
      <c r="DE3" s="18" t="s">
        <v>30</v>
      </c>
      <c r="DF3" s="18" t="s">
        <v>31</v>
      </c>
      <c r="DG3" s="18" t="s">
        <v>32</v>
      </c>
      <c r="DH3" s="18" t="s">
        <v>33</v>
      </c>
      <c r="DI3" s="18" t="s">
        <v>34</v>
      </c>
      <c r="DK3" s="272"/>
      <c r="DL3" s="272"/>
      <c r="DM3" s="273" t="s">
        <v>389</v>
      </c>
      <c r="DN3" s="273" t="s">
        <v>390</v>
      </c>
      <c r="DO3" s="274" t="s">
        <v>391</v>
      </c>
    </row>
    <row r="4" spans="1:119" ht="42.75" hidden="1" customHeight="1" x14ac:dyDescent="0.25">
      <c r="A4" s="20" t="s">
        <v>39</v>
      </c>
      <c r="B4" s="169" t="s">
        <v>40</v>
      </c>
      <c r="C4" s="21" t="s">
        <v>41</v>
      </c>
      <c r="D4" s="22" t="s">
        <v>42</v>
      </c>
      <c r="E4" s="23">
        <v>510</v>
      </c>
      <c r="F4" s="24" t="s">
        <v>43</v>
      </c>
      <c r="G4" s="25">
        <f t="shared" ref="G4:G19" si="0">SUM(H4:Z4)</f>
        <v>25000000</v>
      </c>
      <c r="H4" s="25"/>
      <c r="I4" s="25"/>
      <c r="J4" s="25"/>
      <c r="K4" s="25">
        <v>25000000</v>
      </c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6"/>
      <c r="AB4" s="27">
        <f t="shared" ref="AB4:AB67" si="1">+AC4/G4</f>
        <v>1</v>
      </c>
      <c r="AC4" s="25">
        <f t="shared" ref="AC4:AC19" si="2">SUM(AD4:AW4)</f>
        <v>25000000</v>
      </c>
      <c r="AD4" s="28"/>
      <c r="AE4" s="29"/>
      <c r="AF4" s="29"/>
      <c r="AG4" s="29"/>
      <c r="AH4" s="25">
        <v>25000000</v>
      </c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27">
        <f t="shared" ref="AX4:AX67" si="3">1-AB4</f>
        <v>0</v>
      </c>
      <c r="AY4" s="25">
        <f t="shared" ref="AY4:AY19" si="4">SUM(AZ4:BR4)</f>
        <v>0</v>
      </c>
      <c r="AZ4" s="25">
        <f t="shared" ref="AZ4:AZ9" si="5">+H4</f>
        <v>0</v>
      </c>
      <c r="BA4" s="25">
        <f t="shared" ref="BA4:BB16" si="6">I4-AF4</f>
        <v>0</v>
      </c>
      <c r="BB4" s="25">
        <f t="shared" si="6"/>
        <v>0</v>
      </c>
      <c r="BC4" s="25">
        <f t="shared" ref="BC4:BN16" si="7">+K4-AH4</f>
        <v>0</v>
      </c>
      <c r="BD4" s="25">
        <f t="shared" si="7"/>
        <v>0</v>
      </c>
      <c r="BE4" s="25">
        <f t="shared" si="7"/>
        <v>0</v>
      </c>
      <c r="BF4" s="25">
        <f t="shared" si="7"/>
        <v>0</v>
      </c>
      <c r="BG4" s="25">
        <f t="shared" si="7"/>
        <v>0</v>
      </c>
      <c r="BH4" s="25">
        <f t="shared" si="7"/>
        <v>0</v>
      </c>
      <c r="BI4" s="25">
        <f t="shared" si="7"/>
        <v>0</v>
      </c>
      <c r="BJ4" s="25">
        <f t="shared" si="7"/>
        <v>0</v>
      </c>
      <c r="BK4" s="25">
        <f t="shared" si="7"/>
        <v>0</v>
      </c>
      <c r="BL4" s="25">
        <f t="shared" si="7"/>
        <v>0</v>
      </c>
      <c r="BM4" s="25">
        <f t="shared" si="7"/>
        <v>0</v>
      </c>
      <c r="BN4" s="25">
        <f t="shared" si="7"/>
        <v>0</v>
      </c>
      <c r="BO4" s="25"/>
      <c r="BP4" s="25">
        <f>+X4-AU4</f>
        <v>0</v>
      </c>
      <c r="BQ4" s="25">
        <f t="shared" ref="BQ4:BQ16" si="8">Y4-AV4</f>
        <v>0</v>
      </c>
      <c r="BR4" s="25">
        <f t="shared" ref="BR4:BR16" si="9">+Z4-AW4</f>
        <v>0</v>
      </c>
      <c r="BS4" s="27">
        <f t="shared" ref="BS4:BS67" si="10">+BT4/G4</f>
        <v>0.88505352000000004</v>
      </c>
      <c r="BT4" s="25">
        <f t="shared" ref="BT4:BT19" si="11">SUM(BU4:CN4)</f>
        <v>22126338</v>
      </c>
      <c r="BU4" s="25"/>
      <c r="BV4" s="25"/>
      <c r="BW4" s="25"/>
      <c r="BX4" s="25"/>
      <c r="BY4" s="25">
        <f>+'[1]AGOSTO 2016'!$H$2216</f>
        <v>22126338</v>
      </c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7">
        <f t="shared" ref="CO4:CO58" si="12">1-BS4</f>
        <v>0.11494647999999996</v>
      </c>
      <c r="CP4" s="25">
        <f t="shared" ref="CP4:CP19" si="13">SUM(CQ4:DI4)</f>
        <v>2873662</v>
      </c>
      <c r="CQ4" s="25">
        <f t="shared" ref="CQ4:CV19" si="14">H4-BV4</f>
        <v>0</v>
      </c>
      <c r="CR4" s="25">
        <f t="shared" si="14"/>
        <v>0</v>
      </c>
      <c r="CS4" s="25">
        <f t="shared" si="14"/>
        <v>0</v>
      </c>
      <c r="CT4" s="25">
        <f t="shared" si="14"/>
        <v>2873662</v>
      </c>
      <c r="CU4" s="25">
        <f t="shared" si="14"/>
        <v>0</v>
      </c>
      <c r="CV4" s="25">
        <f t="shared" si="14"/>
        <v>0</v>
      </c>
      <c r="CW4" s="25">
        <f t="shared" ref="CW4:CY16" si="15">+N4-CB4</f>
        <v>0</v>
      </c>
      <c r="CX4" s="25">
        <f t="shared" si="15"/>
        <v>0</v>
      </c>
      <c r="CY4" s="25">
        <f t="shared" si="15"/>
        <v>0</v>
      </c>
      <c r="CZ4" s="25">
        <f t="shared" ref="CZ4:DB19" si="16">Q4-CE4</f>
        <v>0</v>
      </c>
      <c r="DA4" s="25">
        <f t="shared" si="16"/>
        <v>0</v>
      </c>
      <c r="DB4" s="25">
        <f t="shared" si="16"/>
        <v>0</v>
      </c>
      <c r="DC4" s="25">
        <f t="shared" ref="DC4:DE16" si="17">+T4-CH4</f>
        <v>0</v>
      </c>
      <c r="DD4" s="25">
        <f t="shared" si="17"/>
        <v>0</v>
      </c>
      <c r="DE4" s="25">
        <f t="shared" si="17"/>
        <v>0</v>
      </c>
      <c r="DF4" s="25"/>
      <c r="DG4" s="25">
        <f t="shared" ref="DG4:DI16" si="18">+X4-CL4</f>
        <v>0</v>
      </c>
      <c r="DH4" s="25">
        <f t="shared" si="18"/>
        <v>0</v>
      </c>
      <c r="DI4" s="25">
        <f t="shared" si="18"/>
        <v>0</v>
      </c>
      <c r="DK4" s="78"/>
      <c r="DL4" s="78"/>
      <c r="DM4" s="78"/>
      <c r="DN4" s="78"/>
      <c r="DO4" s="78"/>
    </row>
    <row r="5" spans="1:119" ht="51" hidden="1" customHeight="1" x14ac:dyDescent="0.25">
      <c r="A5" s="31"/>
      <c r="B5" s="182"/>
      <c r="C5" s="21" t="s">
        <v>44</v>
      </c>
      <c r="D5" s="22" t="s">
        <v>45</v>
      </c>
      <c r="E5" s="23">
        <v>510</v>
      </c>
      <c r="F5" s="24" t="s">
        <v>46</v>
      </c>
      <c r="G5" s="25">
        <f t="shared" si="0"/>
        <v>62800000</v>
      </c>
      <c r="H5" s="25"/>
      <c r="I5" s="25">
        <f>18000000-18000000</f>
        <v>0</v>
      </c>
      <c r="J5" s="25"/>
      <c r="K5" s="25">
        <f>36000000+18000000</f>
        <v>54000000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f>5000000+1800000-1000000+3000000</f>
        <v>8800000</v>
      </c>
      <c r="AA5" s="32"/>
      <c r="AB5" s="27">
        <f t="shared" si="1"/>
        <v>0.65607587579617832</v>
      </c>
      <c r="AC5" s="25">
        <f t="shared" si="2"/>
        <v>41201565</v>
      </c>
      <c r="AD5" s="25"/>
      <c r="AE5" s="25"/>
      <c r="AF5" s="25"/>
      <c r="AG5" s="25"/>
      <c r="AH5" s="25">
        <f>+'[2]MARZO 2016 ULTIMO'!$O$867</f>
        <v>36000000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>
        <f>+'[1]AGOSTO 2016'!$AG$2237</f>
        <v>5201565</v>
      </c>
      <c r="AX5" s="27">
        <f t="shared" si="3"/>
        <v>0.34392412420382168</v>
      </c>
      <c r="AY5" s="25">
        <f t="shared" si="4"/>
        <v>21598435</v>
      </c>
      <c r="AZ5" s="25">
        <f t="shared" si="5"/>
        <v>0</v>
      </c>
      <c r="BA5" s="25">
        <f t="shared" si="6"/>
        <v>0</v>
      </c>
      <c r="BB5" s="25">
        <f t="shared" si="6"/>
        <v>0</v>
      </c>
      <c r="BC5" s="25">
        <f t="shared" si="7"/>
        <v>18000000</v>
      </c>
      <c r="BD5" s="25">
        <f t="shared" si="7"/>
        <v>0</v>
      </c>
      <c r="BE5" s="25">
        <f t="shared" si="7"/>
        <v>0</v>
      </c>
      <c r="BF5" s="25">
        <f t="shared" si="7"/>
        <v>0</v>
      </c>
      <c r="BG5" s="25">
        <f t="shared" si="7"/>
        <v>0</v>
      </c>
      <c r="BH5" s="25">
        <f t="shared" si="7"/>
        <v>0</v>
      </c>
      <c r="BI5" s="25">
        <f t="shared" si="7"/>
        <v>0</v>
      </c>
      <c r="BJ5" s="25">
        <f t="shared" si="7"/>
        <v>0</v>
      </c>
      <c r="BK5" s="25">
        <f t="shared" si="7"/>
        <v>0</v>
      </c>
      <c r="BL5" s="25">
        <f t="shared" si="7"/>
        <v>0</v>
      </c>
      <c r="BM5" s="25">
        <f t="shared" si="7"/>
        <v>0</v>
      </c>
      <c r="BN5" s="25">
        <f t="shared" si="7"/>
        <v>0</v>
      </c>
      <c r="BO5" s="25"/>
      <c r="BP5" s="25"/>
      <c r="BQ5" s="25">
        <f t="shared" si="8"/>
        <v>0</v>
      </c>
      <c r="BR5" s="25">
        <f t="shared" si="9"/>
        <v>3598435</v>
      </c>
      <c r="BS5" s="27">
        <f t="shared" si="10"/>
        <v>0.656050923566879</v>
      </c>
      <c r="BT5" s="25">
        <f t="shared" si="11"/>
        <v>41199998</v>
      </c>
      <c r="BU5" s="25"/>
      <c r="BV5" s="25"/>
      <c r="BW5" s="25"/>
      <c r="BX5" s="25"/>
      <c r="BY5" s="25">
        <f>+'[1]AGOSTO 2016'!$H$2238+'[1]AGOSTO 2016'!$H$2244</f>
        <v>35999998</v>
      </c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f>+'[1]AGOSTO 2016'!$H$2240+'[1]AGOSTO 2016'!$H$2242+'[1]AGOSTO 2016'!$H$2246+'[1]AGOSTO 2016'!$H$2247+'[1]AGOSTO 2016'!$H$2248+'[1]AGOSTO 2016'!$H$2249+'[1]AGOSTO 2016'!$H$2250+'[1]AGOSTO 2016'!$H$2251</f>
        <v>5200000</v>
      </c>
      <c r="CO5" s="27">
        <f t="shared" si="12"/>
        <v>0.343949076433121</v>
      </c>
      <c r="CP5" s="25">
        <f t="shared" si="13"/>
        <v>21600002</v>
      </c>
      <c r="CQ5" s="25">
        <f t="shared" si="14"/>
        <v>0</v>
      </c>
      <c r="CR5" s="25">
        <f t="shared" si="14"/>
        <v>0</v>
      </c>
      <c r="CS5" s="25">
        <f t="shared" si="14"/>
        <v>0</v>
      </c>
      <c r="CT5" s="25">
        <f t="shared" si="14"/>
        <v>18000002</v>
      </c>
      <c r="CU5" s="25">
        <f t="shared" si="14"/>
        <v>0</v>
      </c>
      <c r="CV5" s="25">
        <f t="shared" si="14"/>
        <v>0</v>
      </c>
      <c r="CW5" s="25">
        <f t="shared" si="15"/>
        <v>0</v>
      </c>
      <c r="CX5" s="25">
        <f t="shared" si="15"/>
        <v>0</v>
      </c>
      <c r="CY5" s="25">
        <f t="shared" si="15"/>
        <v>0</v>
      </c>
      <c r="CZ5" s="25">
        <f t="shared" si="16"/>
        <v>0</v>
      </c>
      <c r="DA5" s="25">
        <f t="shared" si="16"/>
        <v>0</v>
      </c>
      <c r="DB5" s="25">
        <f t="shared" si="16"/>
        <v>0</v>
      </c>
      <c r="DC5" s="25">
        <f t="shared" si="17"/>
        <v>0</v>
      </c>
      <c r="DD5" s="25">
        <f t="shared" si="17"/>
        <v>0</v>
      </c>
      <c r="DE5" s="25">
        <f t="shared" si="17"/>
        <v>0</v>
      </c>
      <c r="DF5" s="25"/>
      <c r="DG5" s="25">
        <f t="shared" si="18"/>
        <v>0</v>
      </c>
      <c r="DH5" s="25">
        <f t="shared" si="18"/>
        <v>0</v>
      </c>
      <c r="DI5" s="25">
        <f t="shared" si="18"/>
        <v>3600000</v>
      </c>
      <c r="DK5" s="78"/>
      <c r="DL5" s="78"/>
      <c r="DM5" s="78"/>
      <c r="DN5" s="78"/>
      <c r="DO5" s="78"/>
    </row>
    <row r="6" spans="1:119" ht="48" hidden="1" customHeight="1" x14ac:dyDescent="0.25">
      <c r="A6" s="31"/>
      <c r="B6" s="170"/>
      <c r="C6" s="21" t="s">
        <v>47</v>
      </c>
      <c r="D6" s="22" t="s">
        <v>48</v>
      </c>
      <c r="E6" s="154">
        <v>510</v>
      </c>
      <c r="F6" s="24" t="s">
        <v>43</v>
      </c>
      <c r="G6" s="25">
        <f t="shared" si="0"/>
        <v>21000000</v>
      </c>
      <c r="H6" s="25"/>
      <c r="I6" s="25">
        <f>11000000-11000000</f>
        <v>0</v>
      </c>
      <c r="J6" s="25"/>
      <c r="K6" s="25">
        <f>10000000+11000000</f>
        <v>21000000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32"/>
      <c r="AB6" s="27">
        <f t="shared" si="1"/>
        <v>0.47619047619047616</v>
      </c>
      <c r="AC6" s="25">
        <f t="shared" si="2"/>
        <v>10000000</v>
      </c>
      <c r="AD6" s="25"/>
      <c r="AE6" s="25"/>
      <c r="AF6" s="25"/>
      <c r="AG6" s="25"/>
      <c r="AH6" s="25">
        <f>+'[2]MARZO 2016 ULTIMO'!$O$878</f>
        <v>10000000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7">
        <f t="shared" si="3"/>
        <v>0.52380952380952384</v>
      </c>
      <c r="AY6" s="25">
        <f t="shared" si="4"/>
        <v>11000000</v>
      </c>
      <c r="AZ6" s="25">
        <f t="shared" si="5"/>
        <v>0</v>
      </c>
      <c r="BA6" s="25">
        <f t="shared" si="6"/>
        <v>0</v>
      </c>
      <c r="BB6" s="25">
        <f t="shared" si="6"/>
        <v>0</v>
      </c>
      <c r="BC6" s="25">
        <f t="shared" si="7"/>
        <v>11000000</v>
      </c>
      <c r="BD6" s="25">
        <f t="shared" si="7"/>
        <v>0</v>
      </c>
      <c r="BE6" s="25">
        <f t="shared" si="7"/>
        <v>0</v>
      </c>
      <c r="BF6" s="25">
        <f t="shared" si="7"/>
        <v>0</v>
      </c>
      <c r="BG6" s="25">
        <f t="shared" si="7"/>
        <v>0</v>
      </c>
      <c r="BH6" s="25">
        <f t="shared" si="7"/>
        <v>0</v>
      </c>
      <c r="BI6" s="25">
        <f t="shared" si="7"/>
        <v>0</v>
      </c>
      <c r="BJ6" s="25">
        <f t="shared" si="7"/>
        <v>0</v>
      </c>
      <c r="BK6" s="25">
        <f t="shared" si="7"/>
        <v>0</v>
      </c>
      <c r="BL6" s="25">
        <f t="shared" si="7"/>
        <v>0</v>
      </c>
      <c r="BM6" s="25">
        <f t="shared" si="7"/>
        <v>0</v>
      </c>
      <c r="BN6" s="25">
        <f t="shared" si="7"/>
        <v>0</v>
      </c>
      <c r="BO6" s="25"/>
      <c r="BP6" s="25"/>
      <c r="BQ6" s="25">
        <f t="shared" si="8"/>
        <v>0</v>
      </c>
      <c r="BR6" s="25">
        <f t="shared" si="9"/>
        <v>0</v>
      </c>
      <c r="BS6" s="27">
        <f t="shared" si="10"/>
        <v>0.47619047619047616</v>
      </c>
      <c r="BT6" s="25">
        <f t="shared" si="11"/>
        <v>10000000</v>
      </c>
      <c r="BU6" s="25"/>
      <c r="BV6" s="25"/>
      <c r="BW6" s="25"/>
      <c r="BX6" s="25"/>
      <c r="BY6" s="25">
        <f>+'[3]ABRIL 2016'!$O$1124</f>
        <v>10000000</v>
      </c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7">
        <f t="shared" si="12"/>
        <v>0.52380952380952384</v>
      </c>
      <c r="CP6" s="25">
        <f t="shared" si="13"/>
        <v>11000000</v>
      </c>
      <c r="CQ6" s="25">
        <f t="shared" si="14"/>
        <v>0</v>
      </c>
      <c r="CR6" s="25">
        <f t="shared" si="14"/>
        <v>0</v>
      </c>
      <c r="CS6" s="25">
        <f t="shared" si="14"/>
        <v>0</v>
      </c>
      <c r="CT6" s="25">
        <f t="shared" si="14"/>
        <v>11000000</v>
      </c>
      <c r="CU6" s="25">
        <f t="shared" si="14"/>
        <v>0</v>
      </c>
      <c r="CV6" s="25">
        <f t="shared" si="14"/>
        <v>0</v>
      </c>
      <c r="CW6" s="25">
        <f t="shared" si="15"/>
        <v>0</v>
      </c>
      <c r="CX6" s="25">
        <f t="shared" si="15"/>
        <v>0</v>
      </c>
      <c r="CY6" s="25">
        <f t="shared" si="15"/>
        <v>0</v>
      </c>
      <c r="CZ6" s="25">
        <f t="shared" si="16"/>
        <v>0</v>
      </c>
      <c r="DA6" s="25">
        <f t="shared" si="16"/>
        <v>0</v>
      </c>
      <c r="DB6" s="25">
        <f t="shared" si="16"/>
        <v>0</v>
      </c>
      <c r="DC6" s="25">
        <f t="shared" si="17"/>
        <v>0</v>
      </c>
      <c r="DD6" s="25">
        <f t="shared" si="17"/>
        <v>0</v>
      </c>
      <c r="DE6" s="25">
        <f t="shared" si="17"/>
        <v>0</v>
      </c>
      <c r="DF6" s="25"/>
      <c r="DG6" s="25">
        <f t="shared" si="18"/>
        <v>0</v>
      </c>
      <c r="DH6" s="25">
        <f t="shared" si="18"/>
        <v>0</v>
      </c>
      <c r="DI6" s="25">
        <f t="shared" si="18"/>
        <v>0</v>
      </c>
      <c r="DK6" s="78"/>
      <c r="DL6" s="78"/>
      <c r="DM6" s="78"/>
      <c r="DN6" s="78"/>
      <c r="DO6" s="78"/>
    </row>
    <row r="7" spans="1:119" ht="72" hidden="1" x14ac:dyDescent="0.25">
      <c r="A7" s="31"/>
      <c r="B7" s="34" t="s">
        <v>49</v>
      </c>
      <c r="C7" s="21" t="s">
        <v>50</v>
      </c>
      <c r="D7" s="22" t="s">
        <v>51</v>
      </c>
      <c r="E7" s="23">
        <v>510</v>
      </c>
      <c r="F7" s="24" t="s">
        <v>52</v>
      </c>
      <c r="G7" s="25">
        <f t="shared" si="0"/>
        <v>42876315</v>
      </c>
      <c r="H7" s="25"/>
      <c r="I7" s="25">
        <f>21000000-21000000</f>
        <v>0</v>
      </c>
      <c r="J7" s="25"/>
      <c r="K7" s="25">
        <f>21000000</f>
        <v>21000000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>
        <f>12576315+12300000-3000000</f>
        <v>21876315</v>
      </c>
      <c r="AB7" s="27">
        <f t="shared" si="1"/>
        <v>0.11372980630448302</v>
      </c>
      <c r="AC7" s="25">
        <f t="shared" si="2"/>
        <v>4876315</v>
      </c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>
        <f>+'[1]AGOSTO 2016'!$AG$2263</f>
        <v>4876315</v>
      </c>
      <c r="AX7" s="27">
        <f t="shared" si="3"/>
        <v>0.88627019369551696</v>
      </c>
      <c r="AY7" s="25">
        <f t="shared" si="4"/>
        <v>38000000</v>
      </c>
      <c r="AZ7" s="25">
        <f t="shared" si="5"/>
        <v>0</v>
      </c>
      <c r="BA7" s="25">
        <f t="shared" si="6"/>
        <v>0</v>
      </c>
      <c r="BB7" s="25">
        <f t="shared" si="6"/>
        <v>0</v>
      </c>
      <c r="BC7" s="25">
        <f t="shared" si="7"/>
        <v>21000000</v>
      </c>
      <c r="BD7" s="25">
        <f t="shared" si="7"/>
        <v>0</v>
      </c>
      <c r="BE7" s="25">
        <f t="shared" si="7"/>
        <v>0</v>
      </c>
      <c r="BF7" s="25">
        <f t="shared" si="7"/>
        <v>0</v>
      </c>
      <c r="BG7" s="25">
        <f t="shared" si="7"/>
        <v>0</v>
      </c>
      <c r="BH7" s="25">
        <f t="shared" si="7"/>
        <v>0</v>
      </c>
      <c r="BI7" s="25">
        <f t="shared" si="7"/>
        <v>0</v>
      </c>
      <c r="BJ7" s="25">
        <f t="shared" si="7"/>
        <v>0</v>
      </c>
      <c r="BK7" s="25">
        <f t="shared" si="7"/>
        <v>0</v>
      </c>
      <c r="BL7" s="25">
        <f t="shared" si="7"/>
        <v>0</v>
      </c>
      <c r="BM7" s="25">
        <f t="shared" si="7"/>
        <v>0</v>
      </c>
      <c r="BN7" s="25">
        <f t="shared" si="7"/>
        <v>0</v>
      </c>
      <c r="BO7" s="25"/>
      <c r="BP7" s="25"/>
      <c r="BQ7" s="25">
        <f t="shared" si="8"/>
        <v>0</v>
      </c>
      <c r="BR7" s="25">
        <f t="shared" si="9"/>
        <v>17000000</v>
      </c>
      <c r="BS7" s="27">
        <f t="shared" si="10"/>
        <v>8.8369721138581991E-2</v>
      </c>
      <c r="BT7" s="25">
        <f t="shared" si="11"/>
        <v>3788968</v>
      </c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>
        <f>+'[1]AGOSTO 2016'!$H$2261</f>
        <v>3788968</v>
      </c>
      <c r="CO7" s="27">
        <f t="shared" si="12"/>
        <v>0.91163027886141801</v>
      </c>
      <c r="CP7" s="25">
        <f t="shared" si="13"/>
        <v>39087347</v>
      </c>
      <c r="CQ7" s="25">
        <f t="shared" si="14"/>
        <v>0</v>
      </c>
      <c r="CR7" s="25">
        <f t="shared" si="14"/>
        <v>0</v>
      </c>
      <c r="CS7" s="25">
        <f t="shared" si="14"/>
        <v>0</v>
      </c>
      <c r="CT7" s="25">
        <f t="shared" si="14"/>
        <v>21000000</v>
      </c>
      <c r="CU7" s="25">
        <f t="shared" si="14"/>
        <v>0</v>
      </c>
      <c r="CV7" s="25">
        <f t="shared" si="14"/>
        <v>0</v>
      </c>
      <c r="CW7" s="25">
        <f t="shared" si="15"/>
        <v>0</v>
      </c>
      <c r="CX7" s="25">
        <f t="shared" si="15"/>
        <v>0</v>
      </c>
      <c r="CY7" s="25">
        <f t="shared" si="15"/>
        <v>0</v>
      </c>
      <c r="CZ7" s="25">
        <f t="shared" si="16"/>
        <v>0</v>
      </c>
      <c r="DA7" s="25">
        <f t="shared" si="16"/>
        <v>0</v>
      </c>
      <c r="DB7" s="25">
        <f t="shared" si="16"/>
        <v>0</v>
      </c>
      <c r="DC7" s="25">
        <f t="shared" si="17"/>
        <v>0</v>
      </c>
      <c r="DD7" s="25">
        <f t="shared" si="17"/>
        <v>0</v>
      </c>
      <c r="DE7" s="25">
        <f t="shared" si="17"/>
        <v>0</v>
      </c>
      <c r="DF7" s="25"/>
      <c r="DG7" s="25">
        <f t="shared" si="18"/>
        <v>0</v>
      </c>
      <c r="DH7" s="25">
        <f t="shared" si="18"/>
        <v>0</v>
      </c>
      <c r="DI7" s="25">
        <f t="shared" si="18"/>
        <v>18087347</v>
      </c>
      <c r="DK7" s="78"/>
      <c r="DL7" s="78"/>
      <c r="DM7" s="78"/>
      <c r="DN7" s="78"/>
      <c r="DO7" s="78"/>
    </row>
    <row r="8" spans="1:119" ht="61.5" hidden="1" customHeight="1" x14ac:dyDescent="0.25">
      <c r="A8" s="31"/>
      <c r="B8" s="169" t="s">
        <v>53</v>
      </c>
      <c r="C8" s="21" t="s">
        <v>54</v>
      </c>
      <c r="D8" s="22" t="s">
        <v>55</v>
      </c>
      <c r="E8" s="23">
        <v>310</v>
      </c>
      <c r="F8" s="24" t="s">
        <v>43</v>
      </c>
      <c r="G8" s="25">
        <f t="shared" si="0"/>
        <v>200000000</v>
      </c>
      <c r="H8" s="25"/>
      <c r="I8" s="25">
        <f>200000000-193378600</f>
        <v>6621400</v>
      </c>
      <c r="J8" s="25"/>
      <c r="K8" s="25">
        <f>193378600</f>
        <v>193378600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B8" s="27">
        <f t="shared" si="1"/>
        <v>0.99987499999999996</v>
      </c>
      <c r="AC8" s="25">
        <f t="shared" si="2"/>
        <v>199975000</v>
      </c>
      <c r="AD8" s="25"/>
      <c r="AE8" s="25"/>
      <c r="AF8" s="25">
        <f>+'[4]ENERO 2016'!$M$109</f>
        <v>6621400</v>
      </c>
      <c r="AG8" s="25"/>
      <c r="AH8" s="25">
        <f>+'[5]FEBRERO 2016'!$O$125</f>
        <v>193353600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7">
        <f t="shared" si="3"/>
        <v>1.2500000000004174E-4</v>
      </c>
      <c r="AY8" s="25">
        <f t="shared" si="4"/>
        <v>25000</v>
      </c>
      <c r="AZ8" s="25">
        <f t="shared" si="5"/>
        <v>0</v>
      </c>
      <c r="BA8" s="25">
        <f t="shared" si="6"/>
        <v>0</v>
      </c>
      <c r="BB8" s="25">
        <f t="shared" si="6"/>
        <v>0</v>
      </c>
      <c r="BC8" s="25">
        <f t="shared" si="7"/>
        <v>25000</v>
      </c>
      <c r="BD8" s="25">
        <f t="shared" si="7"/>
        <v>0</v>
      </c>
      <c r="BE8" s="25">
        <f t="shared" si="7"/>
        <v>0</v>
      </c>
      <c r="BF8" s="25">
        <f t="shared" si="7"/>
        <v>0</v>
      </c>
      <c r="BG8" s="25">
        <f t="shared" si="7"/>
        <v>0</v>
      </c>
      <c r="BH8" s="25">
        <f t="shared" si="7"/>
        <v>0</v>
      </c>
      <c r="BI8" s="25">
        <f t="shared" si="7"/>
        <v>0</v>
      </c>
      <c r="BJ8" s="25">
        <f t="shared" si="7"/>
        <v>0</v>
      </c>
      <c r="BK8" s="25">
        <f t="shared" si="7"/>
        <v>0</v>
      </c>
      <c r="BL8" s="25">
        <f t="shared" si="7"/>
        <v>0</v>
      </c>
      <c r="BM8" s="25">
        <f t="shared" si="7"/>
        <v>0</v>
      </c>
      <c r="BN8" s="25">
        <f t="shared" si="7"/>
        <v>0</v>
      </c>
      <c r="BO8" s="25"/>
      <c r="BP8" s="25"/>
      <c r="BQ8" s="25">
        <f t="shared" si="8"/>
        <v>0</v>
      </c>
      <c r="BR8" s="25">
        <f t="shared" si="9"/>
        <v>0</v>
      </c>
      <c r="BS8" s="27">
        <f t="shared" si="10"/>
        <v>0.57338447000000003</v>
      </c>
      <c r="BT8" s="25">
        <f t="shared" si="11"/>
        <v>114676894</v>
      </c>
      <c r="BU8" s="25"/>
      <c r="BV8" s="25"/>
      <c r="BW8" s="25">
        <f>+'[4]ENERO 2016'!$H$107</f>
        <v>6621400</v>
      </c>
      <c r="BX8" s="25"/>
      <c r="BY8" s="25">
        <f>+'[6]JULIO 2016'!$H$271-BW8</f>
        <v>108055494</v>
      </c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7">
        <f t="shared" si="12"/>
        <v>0.42661552999999997</v>
      </c>
      <c r="CP8" s="25">
        <f t="shared" si="13"/>
        <v>85323106</v>
      </c>
      <c r="CQ8" s="25">
        <f t="shared" si="14"/>
        <v>0</v>
      </c>
      <c r="CR8" s="25">
        <f t="shared" si="14"/>
        <v>0</v>
      </c>
      <c r="CS8" s="25">
        <f t="shared" si="14"/>
        <v>0</v>
      </c>
      <c r="CT8" s="25">
        <f t="shared" si="14"/>
        <v>85323106</v>
      </c>
      <c r="CU8" s="25">
        <f t="shared" si="14"/>
        <v>0</v>
      </c>
      <c r="CV8" s="25">
        <f t="shared" si="14"/>
        <v>0</v>
      </c>
      <c r="CW8" s="25">
        <f t="shared" si="15"/>
        <v>0</v>
      </c>
      <c r="CX8" s="25">
        <f t="shared" si="15"/>
        <v>0</v>
      </c>
      <c r="CY8" s="25">
        <f t="shared" si="15"/>
        <v>0</v>
      </c>
      <c r="CZ8" s="25">
        <f t="shared" si="16"/>
        <v>0</v>
      </c>
      <c r="DA8" s="25">
        <f t="shared" si="16"/>
        <v>0</v>
      </c>
      <c r="DB8" s="25">
        <f t="shared" si="16"/>
        <v>0</v>
      </c>
      <c r="DC8" s="25">
        <f t="shared" si="17"/>
        <v>0</v>
      </c>
      <c r="DD8" s="25">
        <f t="shared" si="17"/>
        <v>0</v>
      </c>
      <c r="DE8" s="25">
        <f t="shared" si="17"/>
        <v>0</v>
      </c>
      <c r="DF8" s="25"/>
      <c r="DG8" s="25">
        <f t="shared" si="18"/>
        <v>0</v>
      </c>
      <c r="DH8" s="25">
        <f t="shared" si="18"/>
        <v>0</v>
      </c>
      <c r="DI8" s="25">
        <f t="shared" si="18"/>
        <v>0</v>
      </c>
      <c r="DK8" s="78"/>
      <c r="DL8" s="78"/>
      <c r="DM8" s="78"/>
      <c r="DN8" s="78"/>
      <c r="DO8" s="78"/>
    </row>
    <row r="9" spans="1:119" ht="69.75" hidden="1" customHeight="1" x14ac:dyDescent="0.25">
      <c r="A9" s="31"/>
      <c r="B9" s="182"/>
      <c r="C9" s="21" t="s">
        <v>56</v>
      </c>
      <c r="D9" s="22" t="s">
        <v>57</v>
      </c>
      <c r="E9" s="23">
        <v>310</v>
      </c>
      <c r="F9" s="24" t="s">
        <v>58</v>
      </c>
      <c r="G9" s="25">
        <f t="shared" si="0"/>
        <v>539200000</v>
      </c>
      <c r="H9" s="25"/>
      <c r="I9" s="25">
        <f>150000000+21000000+193378600+29000000</f>
        <v>393378600</v>
      </c>
      <c r="J9" s="25"/>
      <c r="K9" s="25">
        <f>370000000-21000000-193378600-30800000-29000000</f>
        <v>95821400</v>
      </c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>
        <f>30000000+12000000+1000000+7000000</f>
        <v>50000000</v>
      </c>
      <c r="AA9" s="35"/>
      <c r="AB9" s="27">
        <f t="shared" si="1"/>
        <v>0.34143333642433232</v>
      </c>
      <c r="AC9" s="25">
        <f t="shared" si="2"/>
        <v>184100855</v>
      </c>
      <c r="AD9" s="25"/>
      <c r="AE9" s="25"/>
      <c r="AF9" s="25">
        <f>+'[1]AGOSTO 2016'!$M$339</f>
        <v>68550197</v>
      </c>
      <c r="AG9" s="25"/>
      <c r="AH9" s="25">
        <f>+'[1]AGOSTO 2016'!$O$339</f>
        <v>95047311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>
        <f>+'[1]AGOSTO 2016'!$AG$339</f>
        <v>20503347</v>
      </c>
      <c r="AX9" s="27">
        <f t="shared" si="3"/>
        <v>0.65856666357566773</v>
      </c>
      <c r="AY9" s="25">
        <f t="shared" si="4"/>
        <v>355099145</v>
      </c>
      <c r="AZ9" s="25">
        <f t="shared" si="5"/>
        <v>0</v>
      </c>
      <c r="BA9" s="25">
        <f t="shared" si="6"/>
        <v>324828403</v>
      </c>
      <c r="BB9" s="25">
        <f t="shared" si="6"/>
        <v>0</v>
      </c>
      <c r="BC9" s="25">
        <f t="shared" si="7"/>
        <v>774089</v>
      </c>
      <c r="BD9" s="25">
        <f t="shared" si="7"/>
        <v>0</v>
      </c>
      <c r="BE9" s="25">
        <f t="shared" si="7"/>
        <v>0</v>
      </c>
      <c r="BF9" s="25">
        <f t="shared" si="7"/>
        <v>0</v>
      </c>
      <c r="BG9" s="25">
        <f t="shared" si="7"/>
        <v>0</v>
      </c>
      <c r="BH9" s="25">
        <f t="shared" si="7"/>
        <v>0</v>
      </c>
      <c r="BI9" s="25">
        <f t="shared" si="7"/>
        <v>0</v>
      </c>
      <c r="BJ9" s="25">
        <f t="shared" si="7"/>
        <v>0</v>
      </c>
      <c r="BK9" s="25">
        <f t="shared" si="7"/>
        <v>0</v>
      </c>
      <c r="BL9" s="25">
        <f t="shared" si="7"/>
        <v>0</v>
      </c>
      <c r="BM9" s="25">
        <f t="shared" si="7"/>
        <v>0</v>
      </c>
      <c r="BN9" s="25">
        <f t="shared" si="7"/>
        <v>0</v>
      </c>
      <c r="BO9" s="25"/>
      <c r="BP9" s="25"/>
      <c r="BQ9" s="25">
        <f t="shared" si="8"/>
        <v>0</v>
      </c>
      <c r="BR9" s="25">
        <f t="shared" si="9"/>
        <v>29496653</v>
      </c>
      <c r="BS9" s="27">
        <f t="shared" si="10"/>
        <v>0.34051871476261125</v>
      </c>
      <c r="BT9" s="25">
        <f t="shared" si="11"/>
        <v>183607691</v>
      </c>
      <c r="BU9" s="25"/>
      <c r="BV9" s="25"/>
      <c r="BW9" s="25">
        <f>8604159+24792921+33653117</f>
        <v>67050197</v>
      </c>
      <c r="BX9" s="25"/>
      <c r="BY9" s="25">
        <f>+'[1]AGOSTO 2016'!$H$337-BW9-CN9</f>
        <v>96547311</v>
      </c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>
        <f>+'[1]AGOSTO 2016'!$H$408+'[1]AGOSTO 2016'!$H$434+'[1]AGOSTO 2016'!$H$438+'[1]AGOSTO 2016'!$H$441+'[1]AGOSTO 2016'!$H$449+'[1]AGOSTO 2016'!$H$457+'[1]AGOSTO 2016'!$H$459+'[1]AGOSTO 2016'!$H$466+'[1]AGOSTO 2016'!$H$467+'[1]AGOSTO 2016'!$H$472+'[1]AGOSTO 2016'!$H$490+'[1]AGOSTO 2016'!$H$492+'[1]AGOSTO 2016'!$H$493+'[1]AGOSTO 2016'!$H$506+'[1]AGOSTO 2016'!$H$521</f>
        <v>20010183</v>
      </c>
      <c r="CO9" s="27">
        <f t="shared" si="12"/>
        <v>0.6594812852373888</v>
      </c>
      <c r="CP9" s="25">
        <f t="shared" si="13"/>
        <v>355592309</v>
      </c>
      <c r="CQ9" s="25">
        <f t="shared" si="14"/>
        <v>0</v>
      </c>
      <c r="CR9" s="25">
        <f t="shared" si="14"/>
        <v>326328403</v>
      </c>
      <c r="CS9" s="25">
        <f t="shared" si="14"/>
        <v>0</v>
      </c>
      <c r="CT9" s="25">
        <f t="shared" si="14"/>
        <v>-725911</v>
      </c>
      <c r="CU9" s="25">
        <f t="shared" si="14"/>
        <v>0</v>
      </c>
      <c r="CV9" s="25">
        <f t="shared" si="14"/>
        <v>0</v>
      </c>
      <c r="CW9" s="25">
        <f t="shared" si="15"/>
        <v>0</v>
      </c>
      <c r="CX9" s="25">
        <f t="shared" si="15"/>
        <v>0</v>
      </c>
      <c r="CY9" s="25">
        <f t="shared" si="15"/>
        <v>0</v>
      </c>
      <c r="CZ9" s="25">
        <f t="shared" si="16"/>
        <v>0</v>
      </c>
      <c r="DA9" s="25">
        <f t="shared" si="16"/>
        <v>0</v>
      </c>
      <c r="DB9" s="25">
        <f t="shared" si="16"/>
        <v>0</v>
      </c>
      <c r="DC9" s="25">
        <f t="shared" si="17"/>
        <v>0</v>
      </c>
      <c r="DD9" s="25">
        <f t="shared" si="17"/>
        <v>0</v>
      </c>
      <c r="DE9" s="25">
        <f t="shared" si="17"/>
        <v>0</v>
      </c>
      <c r="DF9" s="25"/>
      <c r="DG9" s="25">
        <f t="shared" si="18"/>
        <v>0</v>
      </c>
      <c r="DH9" s="25">
        <f t="shared" si="18"/>
        <v>0</v>
      </c>
      <c r="DI9" s="25">
        <f t="shared" si="18"/>
        <v>29989817</v>
      </c>
      <c r="DK9" s="78"/>
      <c r="DL9" s="78"/>
      <c r="DM9" s="78"/>
      <c r="DN9" s="78"/>
      <c r="DO9" s="78"/>
    </row>
    <row r="10" spans="1:119" ht="19.5" hidden="1" customHeight="1" x14ac:dyDescent="0.25">
      <c r="A10" s="31"/>
      <c r="B10" s="182"/>
      <c r="C10" s="21" t="s">
        <v>59</v>
      </c>
      <c r="D10" s="22" t="s">
        <v>60</v>
      </c>
      <c r="E10" s="23">
        <v>310</v>
      </c>
      <c r="F10" s="24" t="s">
        <v>43</v>
      </c>
      <c r="G10" s="25">
        <f t="shared" si="0"/>
        <v>15000000</v>
      </c>
      <c r="H10" s="25"/>
      <c r="I10" s="25"/>
      <c r="J10" s="25"/>
      <c r="K10" s="25">
        <v>15000000</v>
      </c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35"/>
      <c r="AB10" s="27">
        <f t="shared" si="1"/>
        <v>1</v>
      </c>
      <c r="AC10" s="25">
        <f t="shared" si="2"/>
        <v>15000000</v>
      </c>
      <c r="AD10" s="25"/>
      <c r="AE10" s="25"/>
      <c r="AF10" s="25"/>
      <c r="AG10" s="25"/>
      <c r="AH10" s="25">
        <f>+'[6]JULIO 2016'!$G$449</f>
        <v>15000000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7">
        <f t="shared" si="3"/>
        <v>0</v>
      </c>
      <c r="AY10" s="25">
        <f t="shared" si="4"/>
        <v>0</v>
      </c>
      <c r="AZ10" s="25">
        <f t="shared" ref="AZ10:AZ16" si="19">H10-AE10</f>
        <v>0</v>
      </c>
      <c r="BA10" s="25">
        <f t="shared" si="6"/>
        <v>0</v>
      </c>
      <c r="BB10" s="25">
        <f t="shared" si="6"/>
        <v>0</v>
      </c>
      <c r="BC10" s="25">
        <f t="shared" si="7"/>
        <v>0</v>
      </c>
      <c r="BD10" s="25">
        <f t="shared" si="7"/>
        <v>0</v>
      </c>
      <c r="BE10" s="25">
        <f t="shared" si="7"/>
        <v>0</v>
      </c>
      <c r="BF10" s="25">
        <f t="shared" si="7"/>
        <v>0</v>
      </c>
      <c r="BG10" s="25">
        <f t="shared" si="7"/>
        <v>0</v>
      </c>
      <c r="BH10" s="25">
        <f t="shared" si="7"/>
        <v>0</v>
      </c>
      <c r="BI10" s="25">
        <f t="shared" si="7"/>
        <v>0</v>
      </c>
      <c r="BJ10" s="25">
        <f t="shared" si="7"/>
        <v>0</v>
      </c>
      <c r="BK10" s="25">
        <f t="shared" si="7"/>
        <v>0</v>
      </c>
      <c r="BL10" s="25">
        <f t="shared" si="7"/>
        <v>0</v>
      </c>
      <c r="BM10" s="25">
        <f t="shared" si="7"/>
        <v>0</v>
      </c>
      <c r="BN10" s="25">
        <f t="shared" si="7"/>
        <v>0</v>
      </c>
      <c r="BO10" s="25"/>
      <c r="BP10" s="25"/>
      <c r="BQ10" s="25">
        <f t="shared" si="8"/>
        <v>0</v>
      </c>
      <c r="BR10" s="25">
        <f t="shared" si="9"/>
        <v>0</v>
      </c>
      <c r="BS10" s="27">
        <f t="shared" si="10"/>
        <v>0.85284666666666664</v>
      </c>
      <c r="BT10" s="25">
        <f t="shared" si="11"/>
        <v>12792700</v>
      </c>
      <c r="BU10" s="25"/>
      <c r="BV10" s="25"/>
      <c r="BW10" s="25"/>
      <c r="BX10" s="25"/>
      <c r="BY10" s="25">
        <f>+'[1]AGOSTO 2016'!$H$531</f>
        <v>12792700</v>
      </c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7">
        <f t="shared" si="12"/>
        <v>0.14715333333333336</v>
      </c>
      <c r="CP10" s="25">
        <f t="shared" si="13"/>
        <v>2207300</v>
      </c>
      <c r="CQ10" s="25">
        <f t="shared" si="14"/>
        <v>0</v>
      </c>
      <c r="CR10" s="25">
        <f t="shared" si="14"/>
        <v>0</v>
      </c>
      <c r="CS10" s="25">
        <f t="shared" si="14"/>
        <v>0</v>
      </c>
      <c r="CT10" s="25">
        <f t="shared" si="14"/>
        <v>2207300</v>
      </c>
      <c r="CU10" s="25">
        <f t="shared" si="14"/>
        <v>0</v>
      </c>
      <c r="CV10" s="25">
        <f t="shared" si="14"/>
        <v>0</v>
      </c>
      <c r="CW10" s="25">
        <f t="shared" si="15"/>
        <v>0</v>
      </c>
      <c r="CX10" s="25">
        <f t="shared" si="15"/>
        <v>0</v>
      </c>
      <c r="CY10" s="25">
        <f t="shared" si="15"/>
        <v>0</v>
      </c>
      <c r="CZ10" s="25">
        <f t="shared" si="16"/>
        <v>0</v>
      </c>
      <c r="DA10" s="25">
        <f t="shared" si="16"/>
        <v>0</v>
      </c>
      <c r="DB10" s="25">
        <f t="shared" si="16"/>
        <v>0</v>
      </c>
      <c r="DC10" s="25">
        <f t="shared" si="17"/>
        <v>0</v>
      </c>
      <c r="DD10" s="25">
        <f t="shared" si="17"/>
        <v>0</v>
      </c>
      <c r="DE10" s="25">
        <f t="shared" si="17"/>
        <v>0</v>
      </c>
      <c r="DF10" s="25"/>
      <c r="DG10" s="25">
        <f t="shared" si="18"/>
        <v>0</v>
      </c>
      <c r="DH10" s="25">
        <f t="shared" si="18"/>
        <v>0</v>
      </c>
      <c r="DI10" s="25">
        <f t="shared" si="18"/>
        <v>0</v>
      </c>
      <c r="DK10" s="78"/>
      <c r="DL10" s="78"/>
      <c r="DM10" s="78"/>
      <c r="DN10" s="78"/>
      <c r="DO10" s="78"/>
    </row>
    <row r="11" spans="1:119" ht="34.5" hidden="1" customHeight="1" x14ac:dyDescent="0.25">
      <c r="A11" s="31"/>
      <c r="B11" s="182"/>
      <c r="C11" s="21" t="s">
        <v>61</v>
      </c>
      <c r="D11" s="22" t="s">
        <v>62</v>
      </c>
      <c r="E11" s="23">
        <v>310</v>
      </c>
      <c r="F11" s="24" t="s">
        <v>43</v>
      </c>
      <c r="G11" s="25">
        <f t="shared" si="0"/>
        <v>50000000</v>
      </c>
      <c r="H11" s="36"/>
      <c r="I11" s="25">
        <v>50000000</v>
      </c>
      <c r="J11" s="36"/>
      <c r="K11" s="36"/>
      <c r="L11" s="25"/>
      <c r="M11" s="36"/>
      <c r="N11" s="30"/>
      <c r="O11" s="30"/>
      <c r="P11" s="30"/>
      <c r="Q11" s="30"/>
      <c r="R11" s="30"/>
      <c r="S11" s="30"/>
      <c r="T11" s="25"/>
      <c r="U11" s="30"/>
      <c r="V11" s="30"/>
      <c r="W11" s="30"/>
      <c r="X11" s="30"/>
      <c r="Y11" s="30"/>
      <c r="Z11" s="36"/>
      <c r="AA11" s="35"/>
      <c r="AB11" s="27">
        <f t="shared" si="1"/>
        <v>0.06</v>
      </c>
      <c r="AC11" s="25">
        <f t="shared" si="2"/>
        <v>3000000</v>
      </c>
      <c r="AD11" s="25"/>
      <c r="AE11" s="25"/>
      <c r="AF11" s="25"/>
      <c r="AG11" s="25"/>
      <c r="AH11" s="25">
        <f>+'[1]AGOSTO 2016'!$M$542</f>
        <v>3000000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7">
        <f t="shared" si="3"/>
        <v>0.94</v>
      </c>
      <c r="AY11" s="25">
        <f t="shared" si="4"/>
        <v>47000000</v>
      </c>
      <c r="AZ11" s="25">
        <f t="shared" si="19"/>
        <v>0</v>
      </c>
      <c r="BA11" s="25">
        <f t="shared" si="6"/>
        <v>50000000</v>
      </c>
      <c r="BB11" s="25">
        <f t="shared" si="6"/>
        <v>0</v>
      </c>
      <c r="BC11" s="25">
        <f t="shared" si="7"/>
        <v>-3000000</v>
      </c>
      <c r="BD11" s="25">
        <f t="shared" si="7"/>
        <v>0</v>
      </c>
      <c r="BE11" s="25">
        <f t="shared" si="7"/>
        <v>0</v>
      </c>
      <c r="BF11" s="25">
        <f t="shared" si="7"/>
        <v>0</v>
      </c>
      <c r="BG11" s="25">
        <f t="shared" si="7"/>
        <v>0</v>
      </c>
      <c r="BH11" s="25">
        <f t="shared" si="7"/>
        <v>0</v>
      </c>
      <c r="BI11" s="25">
        <f t="shared" si="7"/>
        <v>0</v>
      </c>
      <c r="BJ11" s="25">
        <f t="shared" si="7"/>
        <v>0</v>
      </c>
      <c r="BK11" s="25">
        <f t="shared" si="7"/>
        <v>0</v>
      </c>
      <c r="BL11" s="25">
        <f t="shared" si="7"/>
        <v>0</v>
      </c>
      <c r="BM11" s="25">
        <f t="shared" si="7"/>
        <v>0</v>
      </c>
      <c r="BN11" s="25">
        <f t="shared" si="7"/>
        <v>0</v>
      </c>
      <c r="BO11" s="25"/>
      <c r="BP11" s="25"/>
      <c r="BQ11" s="25">
        <f t="shared" si="8"/>
        <v>0</v>
      </c>
      <c r="BR11" s="25">
        <f t="shared" si="9"/>
        <v>0</v>
      </c>
      <c r="BS11" s="27">
        <f t="shared" si="10"/>
        <v>0.02</v>
      </c>
      <c r="BT11" s="25">
        <f t="shared" si="11"/>
        <v>1000000</v>
      </c>
      <c r="BU11" s="25"/>
      <c r="BV11" s="25"/>
      <c r="BW11" s="25">
        <f>+'[6]JULIO 2016'!$H$461</f>
        <v>1000000</v>
      </c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7">
        <f t="shared" si="12"/>
        <v>0.98</v>
      </c>
      <c r="CP11" s="25">
        <f t="shared" si="13"/>
        <v>49000000</v>
      </c>
      <c r="CQ11" s="25">
        <f t="shared" si="14"/>
        <v>0</v>
      </c>
      <c r="CR11" s="25">
        <f t="shared" si="14"/>
        <v>49000000</v>
      </c>
      <c r="CS11" s="25">
        <f t="shared" si="14"/>
        <v>0</v>
      </c>
      <c r="CT11" s="25">
        <f t="shared" si="14"/>
        <v>0</v>
      </c>
      <c r="CU11" s="25">
        <f t="shared" si="14"/>
        <v>0</v>
      </c>
      <c r="CV11" s="25">
        <f t="shared" si="14"/>
        <v>0</v>
      </c>
      <c r="CW11" s="25">
        <f t="shared" si="15"/>
        <v>0</v>
      </c>
      <c r="CX11" s="25">
        <f t="shared" si="15"/>
        <v>0</v>
      </c>
      <c r="CY11" s="25">
        <f t="shared" si="15"/>
        <v>0</v>
      </c>
      <c r="CZ11" s="25">
        <f t="shared" si="16"/>
        <v>0</v>
      </c>
      <c r="DA11" s="25">
        <f t="shared" si="16"/>
        <v>0</v>
      </c>
      <c r="DB11" s="25">
        <f t="shared" si="16"/>
        <v>0</v>
      </c>
      <c r="DC11" s="25">
        <f t="shared" si="17"/>
        <v>0</v>
      </c>
      <c r="DD11" s="25">
        <f t="shared" si="17"/>
        <v>0</v>
      </c>
      <c r="DE11" s="25">
        <f t="shared" si="17"/>
        <v>0</v>
      </c>
      <c r="DF11" s="25"/>
      <c r="DG11" s="25">
        <f t="shared" si="18"/>
        <v>0</v>
      </c>
      <c r="DH11" s="25">
        <f t="shared" si="18"/>
        <v>0</v>
      </c>
      <c r="DI11" s="25">
        <f t="shared" si="18"/>
        <v>0</v>
      </c>
      <c r="DK11" s="78"/>
      <c r="DL11" s="78"/>
      <c r="DM11" s="78"/>
      <c r="DN11" s="78"/>
      <c r="DO11" s="78"/>
    </row>
    <row r="12" spans="1:119" ht="21.75" hidden="1" customHeight="1" x14ac:dyDescent="0.25">
      <c r="A12" s="31"/>
      <c r="B12" s="170"/>
      <c r="C12" s="21" t="s">
        <v>63</v>
      </c>
      <c r="D12" s="22" t="s">
        <v>64</v>
      </c>
      <c r="E12" s="23">
        <v>310</v>
      </c>
      <c r="F12" s="24" t="s">
        <v>43</v>
      </c>
      <c r="G12" s="25">
        <f t="shared" si="0"/>
        <v>10000000</v>
      </c>
      <c r="H12" s="36"/>
      <c r="I12" s="25"/>
      <c r="J12" s="36"/>
      <c r="K12" s="25">
        <v>10000000</v>
      </c>
      <c r="L12" s="25"/>
      <c r="M12" s="36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6"/>
      <c r="AA12" s="35"/>
      <c r="AB12" s="27">
        <f t="shared" si="1"/>
        <v>1</v>
      </c>
      <c r="AC12" s="25">
        <f t="shared" si="2"/>
        <v>10000000</v>
      </c>
      <c r="AD12" s="25"/>
      <c r="AE12" s="25"/>
      <c r="AF12" s="25"/>
      <c r="AG12" s="25"/>
      <c r="AH12" s="25">
        <f>+'[7]JUNIO 2016'!$O$399</f>
        <v>10000000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7">
        <f t="shared" si="3"/>
        <v>0</v>
      </c>
      <c r="AY12" s="25">
        <f t="shared" si="4"/>
        <v>0</v>
      </c>
      <c r="AZ12" s="25">
        <f t="shared" si="19"/>
        <v>0</v>
      </c>
      <c r="BA12" s="25">
        <f t="shared" si="6"/>
        <v>0</v>
      </c>
      <c r="BB12" s="25">
        <f t="shared" si="6"/>
        <v>0</v>
      </c>
      <c r="BC12" s="25">
        <f t="shared" si="7"/>
        <v>0</v>
      </c>
      <c r="BD12" s="25">
        <f t="shared" si="7"/>
        <v>0</v>
      </c>
      <c r="BE12" s="25">
        <f t="shared" si="7"/>
        <v>0</v>
      </c>
      <c r="BF12" s="25">
        <f t="shared" si="7"/>
        <v>0</v>
      </c>
      <c r="BG12" s="25">
        <f t="shared" si="7"/>
        <v>0</v>
      </c>
      <c r="BH12" s="25">
        <f t="shared" si="7"/>
        <v>0</v>
      </c>
      <c r="BI12" s="25">
        <f t="shared" si="7"/>
        <v>0</v>
      </c>
      <c r="BJ12" s="25">
        <f t="shared" si="7"/>
        <v>0</v>
      </c>
      <c r="BK12" s="25">
        <f t="shared" si="7"/>
        <v>0</v>
      </c>
      <c r="BL12" s="25">
        <f t="shared" si="7"/>
        <v>0</v>
      </c>
      <c r="BM12" s="25">
        <f t="shared" si="7"/>
        <v>0</v>
      </c>
      <c r="BN12" s="25">
        <f t="shared" si="7"/>
        <v>0</v>
      </c>
      <c r="BO12" s="25"/>
      <c r="BP12" s="25"/>
      <c r="BQ12" s="25">
        <f t="shared" si="8"/>
        <v>0</v>
      </c>
      <c r="BR12" s="25">
        <f t="shared" si="9"/>
        <v>0</v>
      </c>
      <c r="BS12" s="27">
        <f t="shared" si="10"/>
        <v>0.78</v>
      </c>
      <c r="BT12" s="25">
        <f t="shared" si="11"/>
        <v>7800000</v>
      </c>
      <c r="BU12" s="25"/>
      <c r="BV12" s="25"/>
      <c r="BW12" s="25"/>
      <c r="BX12" s="25"/>
      <c r="BY12" s="25">
        <f>+'[1]AGOSTO 2016'!$H$546</f>
        <v>7800000</v>
      </c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7">
        <f t="shared" si="12"/>
        <v>0.21999999999999997</v>
      </c>
      <c r="CP12" s="25">
        <f t="shared" si="13"/>
        <v>2200000</v>
      </c>
      <c r="CQ12" s="25">
        <f t="shared" si="14"/>
        <v>0</v>
      </c>
      <c r="CR12" s="25">
        <f t="shared" si="14"/>
        <v>0</v>
      </c>
      <c r="CS12" s="25">
        <f t="shared" si="14"/>
        <v>0</v>
      </c>
      <c r="CT12" s="25">
        <f t="shared" si="14"/>
        <v>2200000</v>
      </c>
      <c r="CU12" s="25">
        <f t="shared" si="14"/>
        <v>0</v>
      </c>
      <c r="CV12" s="25">
        <f t="shared" si="14"/>
        <v>0</v>
      </c>
      <c r="CW12" s="25">
        <f t="shared" si="15"/>
        <v>0</v>
      </c>
      <c r="CX12" s="25">
        <f t="shared" si="15"/>
        <v>0</v>
      </c>
      <c r="CY12" s="25">
        <f t="shared" si="15"/>
        <v>0</v>
      </c>
      <c r="CZ12" s="25">
        <f t="shared" si="16"/>
        <v>0</v>
      </c>
      <c r="DA12" s="25">
        <f t="shared" si="16"/>
        <v>0</v>
      </c>
      <c r="DB12" s="25">
        <f t="shared" si="16"/>
        <v>0</v>
      </c>
      <c r="DC12" s="25">
        <f t="shared" si="17"/>
        <v>0</v>
      </c>
      <c r="DD12" s="25">
        <f t="shared" si="17"/>
        <v>0</v>
      </c>
      <c r="DE12" s="25">
        <f t="shared" si="17"/>
        <v>0</v>
      </c>
      <c r="DF12" s="25"/>
      <c r="DG12" s="25">
        <f t="shared" si="18"/>
        <v>0</v>
      </c>
      <c r="DH12" s="25">
        <f t="shared" si="18"/>
        <v>0</v>
      </c>
      <c r="DI12" s="25">
        <f t="shared" si="18"/>
        <v>0</v>
      </c>
      <c r="DK12" s="78"/>
      <c r="DL12" s="78"/>
      <c r="DM12" s="78"/>
      <c r="DN12" s="78"/>
      <c r="DO12" s="78"/>
    </row>
    <row r="13" spans="1:119" ht="78.75" hidden="1" customHeight="1" x14ac:dyDescent="0.25">
      <c r="A13" s="31"/>
      <c r="B13" s="34" t="s">
        <v>65</v>
      </c>
      <c r="C13" s="21" t="s">
        <v>66</v>
      </c>
      <c r="D13" s="22" t="s">
        <v>67</v>
      </c>
      <c r="E13" s="23">
        <v>510</v>
      </c>
      <c r="F13" s="24" t="s">
        <v>68</v>
      </c>
      <c r="G13" s="25">
        <f t="shared" si="0"/>
        <v>265804662</v>
      </c>
      <c r="H13" s="25"/>
      <c r="I13" s="25"/>
      <c r="J13" s="25"/>
      <c r="K13" s="25">
        <v>160000000</v>
      </c>
      <c r="L13" s="25">
        <v>14004396</v>
      </c>
      <c r="M13" s="25"/>
      <c r="N13" s="25"/>
      <c r="O13" s="25"/>
      <c r="P13" s="25"/>
      <c r="Q13" s="25"/>
      <c r="R13" s="25"/>
      <c r="S13" s="25"/>
      <c r="T13" s="25">
        <v>1796640</v>
      </c>
      <c r="U13" s="25"/>
      <c r="V13" s="25"/>
      <c r="W13" s="25"/>
      <c r="X13" s="25"/>
      <c r="Y13" s="25"/>
      <c r="Z13" s="25">
        <f>48000000+2053626+3000000+450000+19500000+7000000+10000000</f>
        <v>90003626</v>
      </c>
      <c r="AB13" s="27">
        <f t="shared" si="1"/>
        <v>0.92385733249479274</v>
      </c>
      <c r="AC13" s="25">
        <f t="shared" si="2"/>
        <v>245565586</v>
      </c>
      <c r="AD13" s="25"/>
      <c r="AE13" s="25"/>
      <c r="AF13" s="25"/>
      <c r="AG13" s="25"/>
      <c r="AH13" s="25">
        <v>160000000</v>
      </c>
      <c r="AI13" s="25">
        <f>+'[5]FEBRERO 2016'!$P$697</f>
        <v>14004396</v>
      </c>
      <c r="AJ13" s="25"/>
      <c r="AK13" s="25"/>
      <c r="AL13" s="25"/>
      <c r="AM13" s="25"/>
      <c r="AN13" s="25"/>
      <c r="AO13" s="25"/>
      <c r="AP13" s="25"/>
      <c r="AQ13" s="25">
        <f>+'[5]FEBRERO 2016'!$X$699</f>
        <v>1796640</v>
      </c>
      <c r="AR13" s="25"/>
      <c r="AS13" s="25"/>
      <c r="AT13" s="25"/>
      <c r="AU13" s="25"/>
      <c r="AV13" s="25"/>
      <c r="AW13" s="25">
        <f>+'[1]AGOSTO 2016'!$AG$2273</f>
        <v>69764550</v>
      </c>
      <c r="AX13" s="27">
        <f t="shared" si="3"/>
        <v>7.6142667505207262E-2</v>
      </c>
      <c r="AY13" s="25">
        <f t="shared" si="4"/>
        <v>20239076</v>
      </c>
      <c r="AZ13" s="25">
        <f t="shared" si="19"/>
        <v>0</v>
      </c>
      <c r="BA13" s="25">
        <f t="shared" si="6"/>
        <v>0</v>
      </c>
      <c r="BB13" s="25">
        <f t="shared" si="6"/>
        <v>0</v>
      </c>
      <c r="BC13" s="25">
        <f t="shared" si="7"/>
        <v>0</v>
      </c>
      <c r="BD13" s="25">
        <f t="shared" si="7"/>
        <v>0</v>
      </c>
      <c r="BE13" s="25">
        <f t="shared" si="7"/>
        <v>0</v>
      </c>
      <c r="BF13" s="25">
        <f t="shared" si="7"/>
        <v>0</v>
      </c>
      <c r="BG13" s="25">
        <f t="shared" si="7"/>
        <v>0</v>
      </c>
      <c r="BH13" s="25">
        <f t="shared" si="7"/>
        <v>0</v>
      </c>
      <c r="BI13" s="25">
        <f t="shared" si="7"/>
        <v>0</v>
      </c>
      <c r="BJ13" s="25">
        <f t="shared" si="7"/>
        <v>0</v>
      </c>
      <c r="BK13" s="25">
        <f t="shared" si="7"/>
        <v>0</v>
      </c>
      <c r="BL13" s="25">
        <f t="shared" si="7"/>
        <v>0</v>
      </c>
      <c r="BM13" s="25">
        <f t="shared" si="7"/>
        <v>0</v>
      </c>
      <c r="BN13" s="25">
        <f t="shared" si="7"/>
        <v>0</v>
      </c>
      <c r="BO13" s="25"/>
      <c r="BP13" s="25"/>
      <c r="BQ13" s="25">
        <f t="shared" si="8"/>
        <v>0</v>
      </c>
      <c r="BR13" s="25">
        <f t="shared" si="9"/>
        <v>20239076</v>
      </c>
      <c r="BS13" s="27">
        <f t="shared" si="10"/>
        <v>0.83806625633977783</v>
      </c>
      <c r="BT13" s="25">
        <f t="shared" si="11"/>
        <v>222761918</v>
      </c>
      <c r="BU13" s="25"/>
      <c r="BV13" s="25"/>
      <c r="BW13" s="25"/>
      <c r="BX13" s="25"/>
      <c r="BY13" s="25">
        <f>+'[1]AGOSTO 2016'!$H$2274+'[1]AGOSTO 2016'!$H$2276+'[1]AGOSTO 2016'!$H$2278+'[1]AGOSTO 2016'!$H$2280+'[1]AGOSTO 2016'!$H$2286+'[1]AGOSTO 2016'!$H$2288+'[1]AGOSTO 2016'!$H$2302+'[1]AGOSTO 2016'!$H$2322</f>
        <v>147658824</v>
      </c>
      <c r="BZ13" s="25">
        <f>+'[8]MAYO 2016'!$H$1359</f>
        <v>14004396</v>
      </c>
      <c r="CA13" s="25"/>
      <c r="CB13" s="25"/>
      <c r="CC13" s="25"/>
      <c r="CD13" s="25"/>
      <c r="CE13" s="25"/>
      <c r="CF13" s="25"/>
      <c r="CG13" s="25"/>
      <c r="CH13" s="25">
        <f>+'[8]MAYO 2016'!$H$1361</f>
        <v>1796640</v>
      </c>
      <c r="CI13" s="25"/>
      <c r="CJ13" s="25"/>
      <c r="CK13" s="25"/>
      <c r="CL13" s="25"/>
      <c r="CM13" s="25"/>
      <c r="CN13" s="25">
        <f>+'[1]AGOSTO 2016'!$H$2282+'[1]AGOSTO 2016'!$H$2290+'[1]AGOSTO 2016'!$H$2293+'[1]AGOSTO 2016'!$H$2297+'[1]AGOSTO 2016'!$H$2299+'[1]AGOSTO 2016'!$H$2301+'[1]AGOSTO 2016'!$H$2319+'[1]AGOSTO 2016'!$H$2320+'[1]AGOSTO 2016'!$H$2328+'[1]AGOSTO 2016'!$H$2331+'[1]AGOSTO 2016'!$H$2332+'[1]AGOSTO 2016'!$H$2333</f>
        <v>59302058</v>
      </c>
      <c r="CO13" s="27">
        <f t="shared" si="12"/>
        <v>0.16193374366022217</v>
      </c>
      <c r="CP13" s="25">
        <f t="shared" si="13"/>
        <v>43042744</v>
      </c>
      <c r="CQ13" s="25">
        <f t="shared" si="14"/>
        <v>0</v>
      </c>
      <c r="CR13" s="25">
        <f t="shared" si="14"/>
        <v>0</v>
      </c>
      <c r="CS13" s="25">
        <f t="shared" si="14"/>
        <v>0</v>
      </c>
      <c r="CT13" s="25">
        <f t="shared" si="14"/>
        <v>12341176</v>
      </c>
      <c r="CU13" s="25">
        <f t="shared" si="14"/>
        <v>0</v>
      </c>
      <c r="CV13" s="25">
        <f t="shared" si="14"/>
        <v>0</v>
      </c>
      <c r="CW13" s="25">
        <f t="shared" si="15"/>
        <v>0</v>
      </c>
      <c r="CX13" s="25">
        <f t="shared" si="15"/>
        <v>0</v>
      </c>
      <c r="CY13" s="25">
        <f t="shared" si="15"/>
        <v>0</v>
      </c>
      <c r="CZ13" s="25">
        <f t="shared" si="16"/>
        <v>0</v>
      </c>
      <c r="DA13" s="25">
        <f t="shared" si="16"/>
        <v>0</v>
      </c>
      <c r="DB13" s="25">
        <f t="shared" si="16"/>
        <v>0</v>
      </c>
      <c r="DC13" s="25">
        <f t="shared" si="17"/>
        <v>0</v>
      </c>
      <c r="DD13" s="25">
        <f t="shared" si="17"/>
        <v>0</v>
      </c>
      <c r="DE13" s="25">
        <f t="shared" si="17"/>
        <v>0</v>
      </c>
      <c r="DF13" s="25"/>
      <c r="DG13" s="25">
        <f t="shared" si="18"/>
        <v>0</v>
      </c>
      <c r="DH13" s="25">
        <f t="shared" si="18"/>
        <v>0</v>
      </c>
      <c r="DI13" s="25">
        <f t="shared" si="18"/>
        <v>30701568</v>
      </c>
      <c r="DK13" s="78"/>
      <c r="DL13" s="78"/>
      <c r="DM13" s="78"/>
      <c r="DN13" s="78"/>
      <c r="DO13" s="78"/>
    </row>
    <row r="14" spans="1:119" ht="60" hidden="1" customHeight="1" x14ac:dyDescent="0.25">
      <c r="A14" s="31"/>
      <c r="B14" s="169" t="s">
        <v>69</v>
      </c>
      <c r="C14" s="21" t="s">
        <v>70</v>
      </c>
      <c r="D14" s="22" t="s">
        <v>71</v>
      </c>
      <c r="E14" s="23">
        <v>510</v>
      </c>
      <c r="F14" s="24" t="s">
        <v>43</v>
      </c>
      <c r="G14" s="25">
        <f t="shared" si="0"/>
        <v>65000000</v>
      </c>
      <c r="H14" s="25"/>
      <c r="I14" s="25"/>
      <c r="J14" s="25"/>
      <c r="K14" s="25">
        <v>65000000</v>
      </c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B14" s="27">
        <f t="shared" si="1"/>
        <v>0.90550324615384614</v>
      </c>
      <c r="AC14" s="25">
        <f t="shared" si="2"/>
        <v>58857711</v>
      </c>
      <c r="AD14" s="25"/>
      <c r="AE14" s="25"/>
      <c r="AF14" s="25"/>
      <c r="AG14" s="25"/>
      <c r="AH14" s="25">
        <f>+'[1]AGOSTO 2016'!$O$2340</f>
        <v>58857711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7">
        <f t="shared" si="3"/>
        <v>9.4496753846153858E-2</v>
      </c>
      <c r="AY14" s="25">
        <f t="shared" si="4"/>
        <v>6142289</v>
      </c>
      <c r="AZ14" s="25">
        <f t="shared" si="19"/>
        <v>0</v>
      </c>
      <c r="BA14" s="25">
        <f t="shared" si="6"/>
        <v>0</v>
      </c>
      <c r="BB14" s="25">
        <f t="shared" si="6"/>
        <v>0</v>
      </c>
      <c r="BC14" s="25">
        <f t="shared" si="7"/>
        <v>6142289</v>
      </c>
      <c r="BD14" s="25">
        <f t="shared" si="7"/>
        <v>0</v>
      </c>
      <c r="BE14" s="25">
        <f t="shared" si="7"/>
        <v>0</v>
      </c>
      <c r="BF14" s="25">
        <f t="shared" si="7"/>
        <v>0</v>
      </c>
      <c r="BG14" s="25">
        <f t="shared" si="7"/>
        <v>0</v>
      </c>
      <c r="BH14" s="25">
        <f t="shared" si="7"/>
        <v>0</v>
      </c>
      <c r="BI14" s="25">
        <f t="shared" si="7"/>
        <v>0</v>
      </c>
      <c r="BJ14" s="25">
        <f t="shared" si="7"/>
        <v>0</v>
      </c>
      <c r="BK14" s="25">
        <f t="shared" si="7"/>
        <v>0</v>
      </c>
      <c r="BL14" s="25">
        <f t="shared" si="7"/>
        <v>0</v>
      </c>
      <c r="BM14" s="25">
        <f t="shared" si="7"/>
        <v>0</v>
      </c>
      <c r="BN14" s="25">
        <f t="shared" si="7"/>
        <v>0</v>
      </c>
      <c r="BO14" s="25"/>
      <c r="BP14" s="25">
        <f>+X14-AU14</f>
        <v>0</v>
      </c>
      <c r="BQ14" s="25">
        <f t="shared" si="8"/>
        <v>0</v>
      </c>
      <c r="BR14" s="25">
        <f t="shared" si="9"/>
        <v>0</v>
      </c>
      <c r="BS14" s="27">
        <f t="shared" si="10"/>
        <v>0.84011226153846152</v>
      </c>
      <c r="BT14" s="25">
        <f t="shared" si="11"/>
        <v>54607297</v>
      </c>
      <c r="BU14" s="25"/>
      <c r="BV14" s="25"/>
      <c r="BW14" s="25"/>
      <c r="BX14" s="25"/>
      <c r="BY14" s="25">
        <f>+'[1]AGOSTO 2016'!$H$2338</f>
        <v>54607297</v>
      </c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7">
        <f t="shared" si="12"/>
        <v>0.15988773846153848</v>
      </c>
      <c r="CP14" s="25">
        <f t="shared" si="13"/>
        <v>10392703</v>
      </c>
      <c r="CQ14" s="25">
        <f t="shared" si="14"/>
        <v>0</v>
      </c>
      <c r="CR14" s="25">
        <f t="shared" si="14"/>
        <v>0</v>
      </c>
      <c r="CS14" s="25">
        <f t="shared" si="14"/>
        <v>0</v>
      </c>
      <c r="CT14" s="25">
        <f t="shared" si="14"/>
        <v>10392703</v>
      </c>
      <c r="CU14" s="25">
        <f t="shared" si="14"/>
        <v>0</v>
      </c>
      <c r="CV14" s="25">
        <f t="shared" si="14"/>
        <v>0</v>
      </c>
      <c r="CW14" s="25">
        <f t="shared" si="15"/>
        <v>0</v>
      </c>
      <c r="CX14" s="25">
        <f t="shared" si="15"/>
        <v>0</v>
      </c>
      <c r="CY14" s="25">
        <f t="shared" si="15"/>
        <v>0</v>
      </c>
      <c r="CZ14" s="25">
        <f t="shared" si="16"/>
        <v>0</v>
      </c>
      <c r="DA14" s="25">
        <f t="shared" si="16"/>
        <v>0</v>
      </c>
      <c r="DB14" s="25">
        <f t="shared" si="16"/>
        <v>0</v>
      </c>
      <c r="DC14" s="25">
        <f t="shared" si="17"/>
        <v>0</v>
      </c>
      <c r="DD14" s="25">
        <f t="shared" si="17"/>
        <v>0</v>
      </c>
      <c r="DE14" s="25">
        <f t="shared" si="17"/>
        <v>0</v>
      </c>
      <c r="DF14" s="25"/>
      <c r="DG14" s="25">
        <f t="shared" si="18"/>
        <v>0</v>
      </c>
      <c r="DH14" s="25">
        <f t="shared" si="18"/>
        <v>0</v>
      </c>
      <c r="DI14" s="25">
        <f t="shared" si="18"/>
        <v>0</v>
      </c>
      <c r="DK14" s="78"/>
      <c r="DL14" s="78"/>
      <c r="DM14" s="78"/>
      <c r="DN14" s="78"/>
      <c r="DO14" s="78"/>
    </row>
    <row r="15" spans="1:119" ht="30" hidden="1" x14ac:dyDescent="0.25">
      <c r="A15" s="31"/>
      <c r="B15" s="182"/>
      <c r="C15" s="21" t="s">
        <v>72</v>
      </c>
      <c r="D15" s="22" t="s">
        <v>73</v>
      </c>
      <c r="E15" s="23">
        <v>510</v>
      </c>
      <c r="F15" s="24" t="s">
        <v>43</v>
      </c>
      <c r="G15" s="25">
        <f t="shared" si="0"/>
        <v>32000000</v>
      </c>
      <c r="H15" s="25"/>
      <c r="I15" s="25"/>
      <c r="J15" s="25"/>
      <c r="K15" s="25">
        <v>1568554</v>
      </c>
      <c r="L15" s="25"/>
      <c r="M15" s="25"/>
      <c r="N15" s="25"/>
      <c r="O15" s="25"/>
      <c r="P15" s="25"/>
      <c r="Q15" s="25"/>
      <c r="R15" s="25"/>
      <c r="S15" s="25">
        <v>30431446</v>
      </c>
      <c r="T15" s="25"/>
      <c r="U15" s="25"/>
      <c r="V15" s="25"/>
      <c r="W15" s="25"/>
      <c r="X15" s="25"/>
      <c r="Y15" s="25"/>
      <c r="Z15" s="25"/>
      <c r="AB15" s="27">
        <f t="shared" si="1"/>
        <v>0.77308631250000004</v>
      </c>
      <c r="AC15" s="25">
        <f t="shared" si="2"/>
        <v>24738762</v>
      </c>
      <c r="AD15" s="25"/>
      <c r="AE15" s="25"/>
      <c r="AF15" s="25"/>
      <c r="AG15" s="25"/>
      <c r="AH15" s="25">
        <f>+'[8]MAYO 2016'!$O$1393</f>
        <v>1550000</v>
      </c>
      <c r="AI15" s="25"/>
      <c r="AJ15" s="25"/>
      <c r="AK15" s="25"/>
      <c r="AL15" s="25"/>
      <c r="AM15" s="25"/>
      <c r="AN15" s="25"/>
      <c r="AO15" s="25"/>
      <c r="AP15" s="25">
        <f>+'[1]AGOSTO 2016'!$W$2380</f>
        <v>23188762</v>
      </c>
      <c r="AQ15" s="25"/>
      <c r="AR15" s="25"/>
      <c r="AS15" s="25"/>
      <c r="AT15" s="25"/>
      <c r="AU15" s="25"/>
      <c r="AV15" s="25"/>
      <c r="AW15" s="25"/>
      <c r="AX15" s="27">
        <f t="shared" si="3"/>
        <v>0.22691368749999996</v>
      </c>
      <c r="AY15" s="25">
        <f t="shared" si="4"/>
        <v>7261238</v>
      </c>
      <c r="AZ15" s="25">
        <f t="shared" si="19"/>
        <v>0</v>
      </c>
      <c r="BA15" s="25">
        <f t="shared" si="6"/>
        <v>0</v>
      </c>
      <c r="BB15" s="25">
        <f t="shared" si="6"/>
        <v>0</v>
      </c>
      <c r="BC15" s="25">
        <f t="shared" si="7"/>
        <v>18554</v>
      </c>
      <c r="BD15" s="25">
        <f t="shared" si="7"/>
        <v>0</v>
      </c>
      <c r="BE15" s="25">
        <f t="shared" si="7"/>
        <v>0</v>
      </c>
      <c r="BF15" s="25">
        <f t="shared" si="7"/>
        <v>0</v>
      </c>
      <c r="BG15" s="25">
        <f t="shared" si="7"/>
        <v>0</v>
      </c>
      <c r="BH15" s="25">
        <f t="shared" si="7"/>
        <v>0</v>
      </c>
      <c r="BI15" s="25">
        <f t="shared" si="7"/>
        <v>0</v>
      </c>
      <c r="BJ15" s="25">
        <f t="shared" si="7"/>
        <v>0</v>
      </c>
      <c r="BK15" s="25">
        <f t="shared" si="7"/>
        <v>7242684</v>
      </c>
      <c r="BL15" s="25">
        <f t="shared" si="7"/>
        <v>0</v>
      </c>
      <c r="BM15" s="25">
        <f t="shared" si="7"/>
        <v>0</v>
      </c>
      <c r="BN15" s="25">
        <f t="shared" si="7"/>
        <v>0</v>
      </c>
      <c r="BO15" s="25"/>
      <c r="BP15" s="25"/>
      <c r="BQ15" s="25">
        <f t="shared" si="8"/>
        <v>0</v>
      </c>
      <c r="BR15" s="25">
        <f t="shared" si="9"/>
        <v>0</v>
      </c>
      <c r="BS15" s="27">
        <f t="shared" si="10"/>
        <v>0.7727571875</v>
      </c>
      <c r="BT15" s="25">
        <f t="shared" si="11"/>
        <v>24728230</v>
      </c>
      <c r="BU15" s="25"/>
      <c r="BV15" s="25"/>
      <c r="BW15" s="25"/>
      <c r="BX15" s="25"/>
      <c r="BY15" s="25">
        <f>+'[8]MAYO 2016'!$O$1397</f>
        <v>1550000</v>
      </c>
      <c r="BZ15" s="25"/>
      <c r="CA15" s="25"/>
      <c r="CB15" s="25"/>
      <c r="CC15" s="25"/>
      <c r="CD15" s="25"/>
      <c r="CE15" s="25"/>
      <c r="CF15" s="25"/>
      <c r="CG15" s="25">
        <f>+'[1]AGOSTO 2016'!$H$2378-BY15</f>
        <v>23178230</v>
      </c>
      <c r="CH15" s="25"/>
      <c r="CI15" s="25"/>
      <c r="CJ15" s="25"/>
      <c r="CK15" s="25"/>
      <c r="CL15" s="25"/>
      <c r="CM15" s="25"/>
      <c r="CN15" s="25"/>
      <c r="CO15" s="27">
        <f t="shared" si="12"/>
        <v>0.2272428125</v>
      </c>
      <c r="CP15" s="25">
        <f t="shared" si="13"/>
        <v>7271770</v>
      </c>
      <c r="CQ15" s="25">
        <f t="shared" si="14"/>
        <v>0</v>
      </c>
      <c r="CR15" s="25">
        <f t="shared" si="14"/>
        <v>0</v>
      </c>
      <c r="CS15" s="25">
        <f t="shared" si="14"/>
        <v>0</v>
      </c>
      <c r="CT15" s="25">
        <f t="shared" si="14"/>
        <v>18554</v>
      </c>
      <c r="CU15" s="25">
        <f t="shared" si="14"/>
        <v>0</v>
      </c>
      <c r="CV15" s="25">
        <f t="shared" si="14"/>
        <v>0</v>
      </c>
      <c r="CW15" s="25">
        <f t="shared" si="15"/>
        <v>0</v>
      </c>
      <c r="CX15" s="25">
        <f t="shared" si="15"/>
        <v>0</v>
      </c>
      <c r="CY15" s="25">
        <f t="shared" si="15"/>
        <v>0</v>
      </c>
      <c r="CZ15" s="25">
        <f t="shared" si="16"/>
        <v>0</v>
      </c>
      <c r="DA15" s="25">
        <f t="shared" si="16"/>
        <v>0</v>
      </c>
      <c r="DB15" s="25">
        <f t="shared" si="16"/>
        <v>7253216</v>
      </c>
      <c r="DC15" s="25">
        <f t="shared" si="17"/>
        <v>0</v>
      </c>
      <c r="DD15" s="25">
        <f t="shared" si="17"/>
        <v>0</v>
      </c>
      <c r="DE15" s="25">
        <f t="shared" si="17"/>
        <v>0</v>
      </c>
      <c r="DF15" s="25"/>
      <c r="DG15" s="25">
        <f t="shared" si="18"/>
        <v>0</v>
      </c>
      <c r="DH15" s="25">
        <f t="shared" si="18"/>
        <v>0</v>
      </c>
      <c r="DI15" s="25">
        <f t="shared" si="18"/>
        <v>0</v>
      </c>
      <c r="DK15" s="78"/>
      <c r="DL15" s="78"/>
      <c r="DM15" s="78"/>
      <c r="DN15" s="78"/>
      <c r="DO15" s="78"/>
    </row>
    <row r="16" spans="1:119" ht="36.75" hidden="1" customHeight="1" x14ac:dyDescent="0.25">
      <c r="A16" s="31"/>
      <c r="B16" s="170"/>
      <c r="C16" s="21" t="s">
        <v>74</v>
      </c>
      <c r="D16" s="22" t="s">
        <v>75</v>
      </c>
      <c r="E16" s="23">
        <v>510</v>
      </c>
      <c r="F16" s="24" t="s">
        <v>76</v>
      </c>
      <c r="G16" s="25">
        <f t="shared" si="0"/>
        <v>0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>
        <f>4000000-4000000</f>
        <v>0</v>
      </c>
      <c r="AB16" s="27" t="e">
        <f t="shared" si="1"/>
        <v>#DIV/0!</v>
      </c>
      <c r="AC16" s="25">
        <f t="shared" si="2"/>
        <v>0</v>
      </c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7" t="e">
        <f t="shared" si="3"/>
        <v>#DIV/0!</v>
      </c>
      <c r="AY16" s="25">
        <f t="shared" si="4"/>
        <v>0</v>
      </c>
      <c r="AZ16" s="25">
        <f t="shared" si="19"/>
        <v>0</v>
      </c>
      <c r="BA16" s="25">
        <f t="shared" si="6"/>
        <v>0</v>
      </c>
      <c r="BB16" s="25">
        <f t="shared" si="6"/>
        <v>0</v>
      </c>
      <c r="BC16" s="25">
        <f t="shared" si="7"/>
        <v>0</v>
      </c>
      <c r="BD16" s="25">
        <f t="shared" si="7"/>
        <v>0</v>
      </c>
      <c r="BE16" s="25">
        <f t="shared" si="7"/>
        <v>0</v>
      </c>
      <c r="BF16" s="25">
        <f t="shared" si="7"/>
        <v>0</v>
      </c>
      <c r="BG16" s="25">
        <f t="shared" si="7"/>
        <v>0</v>
      </c>
      <c r="BH16" s="25">
        <f t="shared" si="7"/>
        <v>0</v>
      </c>
      <c r="BI16" s="25">
        <f t="shared" si="7"/>
        <v>0</v>
      </c>
      <c r="BJ16" s="25">
        <f t="shared" si="7"/>
        <v>0</v>
      </c>
      <c r="BK16" s="25">
        <f t="shared" si="7"/>
        <v>0</v>
      </c>
      <c r="BL16" s="25">
        <f t="shared" si="7"/>
        <v>0</v>
      </c>
      <c r="BM16" s="25">
        <f t="shared" si="7"/>
        <v>0</v>
      </c>
      <c r="BN16" s="25">
        <f t="shared" si="7"/>
        <v>0</v>
      </c>
      <c r="BO16" s="25"/>
      <c r="BP16" s="25"/>
      <c r="BQ16" s="25">
        <f t="shared" si="8"/>
        <v>0</v>
      </c>
      <c r="BR16" s="25">
        <f t="shared" si="9"/>
        <v>0</v>
      </c>
      <c r="BS16" s="27" t="e">
        <f t="shared" si="10"/>
        <v>#DIV/0!</v>
      </c>
      <c r="BT16" s="25">
        <f t="shared" si="11"/>
        <v>0</v>
      </c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7" t="e">
        <f t="shared" si="12"/>
        <v>#DIV/0!</v>
      </c>
      <c r="CP16" s="25">
        <f t="shared" si="13"/>
        <v>0</v>
      </c>
      <c r="CQ16" s="25">
        <f t="shared" si="14"/>
        <v>0</v>
      </c>
      <c r="CR16" s="25">
        <f t="shared" si="14"/>
        <v>0</v>
      </c>
      <c r="CS16" s="25">
        <f t="shared" si="14"/>
        <v>0</v>
      </c>
      <c r="CT16" s="25">
        <f t="shared" si="14"/>
        <v>0</v>
      </c>
      <c r="CU16" s="25">
        <f t="shared" si="14"/>
        <v>0</v>
      </c>
      <c r="CV16" s="25">
        <f t="shared" si="14"/>
        <v>0</v>
      </c>
      <c r="CW16" s="25">
        <f t="shared" si="15"/>
        <v>0</v>
      </c>
      <c r="CX16" s="25">
        <f t="shared" si="15"/>
        <v>0</v>
      </c>
      <c r="CY16" s="25">
        <f t="shared" si="15"/>
        <v>0</v>
      </c>
      <c r="CZ16" s="25">
        <f t="shared" si="16"/>
        <v>0</v>
      </c>
      <c r="DA16" s="25">
        <f t="shared" si="16"/>
        <v>0</v>
      </c>
      <c r="DB16" s="25">
        <f t="shared" si="16"/>
        <v>0</v>
      </c>
      <c r="DC16" s="25">
        <f t="shared" si="17"/>
        <v>0</v>
      </c>
      <c r="DD16" s="25">
        <f t="shared" si="17"/>
        <v>0</v>
      </c>
      <c r="DE16" s="25">
        <f t="shared" si="17"/>
        <v>0</v>
      </c>
      <c r="DF16" s="25"/>
      <c r="DG16" s="25">
        <f t="shared" si="18"/>
        <v>0</v>
      </c>
      <c r="DH16" s="25">
        <f t="shared" si="18"/>
        <v>0</v>
      </c>
      <c r="DI16" s="25">
        <f t="shared" si="18"/>
        <v>0</v>
      </c>
      <c r="DK16" s="78"/>
      <c r="DL16" s="78"/>
      <c r="DM16" s="78"/>
      <c r="DN16" s="78"/>
      <c r="DO16" s="78"/>
    </row>
    <row r="17" spans="1:119" ht="21.75" hidden="1" customHeight="1" x14ac:dyDescent="0.25">
      <c r="A17" s="31"/>
      <c r="B17" s="155" t="s">
        <v>77</v>
      </c>
      <c r="C17" s="21" t="s">
        <v>78</v>
      </c>
      <c r="D17" s="22" t="s">
        <v>79</v>
      </c>
      <c r="E17" s="23">
        <v>510</v>
      </c>
      <c r="F17" s="24" t="s">
        <v>43</v>
      </c>
      <c r="G17" s="25">
        <f t="shared" si="0"/>
        <v>30800000</v>
      </c>
      <c r="H17" s="25"/>
      <c r="I17" s="25"/>
      <c r="J17" s="25"/>
      <c r="K17" s="25">
        <f>30800000</f>
        <v>30800000</v>
      </c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B17" s="27">
        <f t="shared" si="1"/>
        <v>1</v>
      </c>
      <c r="AC17" s="25">
        <f t="shared" si="2"/>
        <v>30800000</v>
      </c>
      <c r="AD17" s="25"/>
      <c r="AE17" s="25"/>
      <c r="AF17" s="25"/>
      <c r="AG17" s="25"/>
      <c r="AH17" s="25">
        <f>+'[7]JUNIO 2016'!$O$1629</f>
        <v>30800000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7">
        <f t="shared" si="3"/>
        <v>0</v>
      </c>
      <c r="AY17" s="25">
        <f t="shared" si="4"/>
        <v>0</v>
      </c>
      <c r="AZ17" s="25">
        <f>+H17</f>
        <v>0</v>
      </c>
      <c r="BA17" s="25">
        <f>+I17</f>
        <v>0</v>
      </c>
      <c r="BB17" s="25">
        <f>+J17</f>
        <v>0</v>
      </c>
      <c r="BC17" s="25">
        <f>+K17-AH17</f>
        <v>0</v>
      </c>
      <c r="BD17" s="25">
        <f t="shared" ref="BD17:BN17" si="20">+L17</f>
        <v>0</v>
      </c>
      <c r="BE17" s="25">
        <f t="shared" si="20"/>
        <v>0</v>
      </c>
      <c r="BF17" s="25">
        <f t="shared" si="20"/>
        <v>0</v>
      </c>
      <c r="BG17" s="25">
        <f t="shared" si="20"/>
        <v>0</v>
      </c>
      <c r="BH17" s="25">
        <f t="shared" si="20"/>
        <v>0</v>
      </c>
      <c r="BI17" s="25">
        <f t="shared" si="20"/>
        <v>0</v>
      </c>
      <c r="BJ17" s="25">
        <f t="shared" si="20"/>
        <v>0</v>
      </c>
      <c r="BK17" s="25">
        <f t="shared" si="20"/>
        <v>0</v>
      </c>
      <c r="BL17" s="25">
        <f t="shared" si="20"/>
        <v>0</v>
      </c>
      <c r="BM17" s="25">
        <f t="shared" si="20"/>
        <v>0</v>
      </c>
      <c r="BN17" s="25">
        <f t="shared" si="20"/>
        <v>0</v>
      </c>
      <c r="BO17" s="25"/>
      <c r="BP17" s="25">
        <f>+X17</f>
        <v>0</v>
      </c>
      <c r="BQ17" s="25">
        <f>+Y17</f>
        <v>0</v>
      </c>
      <c r="BR17" s="25">
        <f>+Z17</f>
        <v>0</v>
      </c>
      <c r="BS17" s="27">
        <f t="shared" si="10"/>
        <v>0.6428571428571429</v>
      </c>
      <c r="BT17" s="25">
        <f t="shared" si="11"/>
        <v>19800000</v>
      </c>
      <c r="BU17" s="25"/>
      <c r="BV17" s="25"/>
      <c r="BW17" s="25"/>
      <c r="BX17" s="25"/>
      <c r="BY17" s="25">
        <f>+'[6]JULIO 2016'!$H$1796</f>
        <v>19800000</v>
      </c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7">
        <f t="shared" si="12"/>
        <v>0.3571428571428571</v>
      </c>
      <c r="CP17" s="25">
        <f t="shared" si="13"/>
        <v>11000000</v>
      </c>
      <c r="CQ17" s="25">
        <f t="shared" si="14"/>
        <v>0</v>
      </c>
      <c r="CR17" s="25">
        <f t="shared" si="14"/>
        <v>0</v>
      </c>
      <c r="CS17" s="25">
        <f t="shared" si="14"/>
        <v>0</v>
      </c>
      <c r="CT17" s="25">
        <f t="shared" si="14"/>
        <v>11000000</v>
      </c>
      <c r="CU17" s="25">
        <f t="shared" si="14"/>
        <v>0</v>
      </c>
      <c r="CV17" s="25">
        <f t="shared" si="14"/>
        <v>0</v>
      </c>
      <c r="CW17" s="25">
        <f>N17-CB17</f>
        <v>0</v>
      </c>
      <c r="CX17" s="25">
        <f>O17-CC17</f>
        <v>0</v>
      </c>
      <c r="CY17" s="25">
        <f>P17-CD17</f>
        <v>0</v>
      </c>
      <c r="CZ17" s="25">
        <f t="shared" si="16"/>
        <v>0</v>
      </c>
      <c r="DA17" s="25">
        <f t="shared" si="16"/>
        <v>0</v>
      </c>
      <c r="DB17" s="25">
        <f t="shared" si="16"/>
        <v>0</v>
      </c>
      <c r="DC17" s="25">
        <f>T17-CH17</f>
        <v>0</v>
      </c>
      <c r="DD17" s="25">
        <f>U17-CI17</f>
        <v>0</v>
      </c>
      <c r="DE17" s="25">
        <f>V17-CJ17</f>
        <v>0</v>
      </c>
      <c r="DF17" s="25"/>
      <c r="DG17" s="25">
        <f>X17-CL17</f>
        <v>0</v>
      </c>
      <c r="DH17" s="25">
        <f>Y17-CM17</f>
        <v>0</v>
      </c>
      <c r="DI17" s="25">
        <f>Z17-CN17</f>
        <v>0</v>
      </c>
      <c r="DK17" s="78"/>
      <c r="DL17" s="78"/>
      <c r="DM17" s="78"/>
      <c r="DN17" s="78"/>
      <c r="DO17" s="78"/>
    </row>
    <row r="18" spans="1:119" ht="30.75" hidden="1" customHeight="1" x14ac:dyDescent="0.25">
      <c r="A18" s="31"/>
      <c r="B18" s="169" t="s">
        <v>80</v>
      </c>
      <c r="C18" s="21" t="s">
        <v>81</v>
      </c>
      <c r="D18" s="22" t="s">
        <v>82</v>
      </c>
      <c r="E18" s="23">
        <v>510</v>
      </c>
      <c r="F18" s="24" t="s">
        <v>43</v>
      </c>
      <c r="G18" s="25">
        <f t="shared" si="0"/>
        <v>17000000</v>
      </c>
      <c r="H18" s="25"/>
      <c r="I18" s="25"/>
      <c r="J18" s="25"/>
      <c r="K18" s="25">
        <v>17000000</v>
      </c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B18" s="27">
        <f t="shared" si="1"/>
        <v>0.53276688235294123</v>
      </c>
      <c r="AC18" s="25">
        <f t="shared" si="2"/>
        <v>9057037</v>
      </c>
      <c r="AD18" s="25"/>
      <c r="AE18" s="25"/>
      <c r="AF18" s="25"/>
      <c r="AG18" s="25"/>
      <c r="AH18" s="25">
        <f>+'[6]JULIO 2016'!$O$1808</f>
        <v>9057037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7">
        <f t="shared" si="3"/>
        <v>0.46723311764705877</v>
      </c>
      <c r="AY18" s="25">
        <f t="shared" si="4"/>
        <v>7942963</v>
      </c>
      <c r="AZ18" s="25">
        <f t="shared" ref="AZ18:BB19" si="21">H18-AE18</f>
        <v>0</v>
      </c>
      <c r="BA18" s="25">
        <f t="shared" si="21"/>
        <v>0</v>
      </c>
      <c r="BB18" s="25">
        <f t="shared" si="21"/>
        <v>0</v>
      </c>
      <c r="BC18" s="25">
        <f>+K18-AH18</f>
        <v>7942963</v>
      </c>
      <c r="BD18" s="25">
        <f t="shared" ref="BD18:BN19" si="22">+L18-AI18</f>
        <v>0</v>
      </c>
      <c r="BE18" s="25">
        <f t="shared" si="22"/>
        <v>0</v>
      </c>
      <c r="BF18" s="25">
        <f t="shared" si="22"/>
        <v>0</v>
      </c>
      <c r="BG18" s="25">
        <f t="shared" si="22"/>
        <v>0</v>
      </c>
      <c r="BH18" s="25">
        <f t="shared" si="22"/>
        <v>0</v>
      </c>
      <c r="BI18" s="25">
        <f t="shared" si="22"/>
        <v>0</v>
      </c>
      <c r="BJ18" s="25">
        <f t="shared" si="22"/>
        <v>0</v>
      </c>
      <c r="BK18" s="25">
        <f t="shared" si="22"/>
        <v>0</v>
      </c>
      <c r="BL18" s="25">
        <f t="shared" si="22"/>
        <v>0</v>
      </c>
      <c r="BM18" s="25">
        <f t="shared" si="22"/>
        <v>0</v>
      </c>
      <c r="BN18" s="25">
        <f t="shared" si="22"/>
        <v>0</v>
      </c>
      <c r="BO18" s="25"/>
      <c r="BP18" s="25"/>
      <c r="BQ18" s="25">
        <f>Y18-AV18</f>
        <v>0</v>
      </c>
      <c r="BR18" s="25">
        <f>+Z18-AW18</f>
        <v>0</v>
      </c>
      <c r="BS18" s="27">
        <f t="shared" si="10"/>
        <v>0.53276688235294123</v>
      </c>
      <c r="BT18" s="25">
        <f t="shared" si="11"/>
        <v>9057037</v>
      </c>
      <c r="BU18" s="25"/>
      <c r="BV18" s="25"/>
      <c r="BW18" s="25"/>
      <c r="BX18" s="25"/>
      <c r="BY18" s="25">
        <f>+'[6]JULIO 2016'!$H$1806</f>
        <v>9057037</v>
      </c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7">
        <f t="shared" si="12"/>
        <v>0.46723311764705877</v>
      </c>
      <c r="CP18" s="25">
        <f t="shared" si="13"/>
        <v>7942963</v>
      </c>
      <c r="CQ18" s="25">
        <f t="shared" si="14"/>
        <v>0</v>
      </c>
      <c r="CR18" s="25">
        <f t="shared" si="14"/>
        <v>0</v>
      </c>
      <c r="CS18" s="25">
        <f t="shared" si="14"/>
        <v>0</v>
      </c>
      <c r="CT18" s="25">
        <f t="shared" si="14"/>
        <v>7942963</v>
      </c>
      <c r="CU18" s="25">
        <f t="shared" si="14"/>
        <v>0</v>
      </c>
      <c r="CV18" s="25">
        <f t="shared" si="14"/>
        <v>0</v>
      </c>
      <c r="CW18" s="25">
        <f t="shared" ref="CW18:CY19" si="23">+N18-CB18</f>
        <v>0</v>
      </c>
      <c r="CX18" s="25">
        <f t="shared" si="23"/>
        <v>0</v>
      </c>
      <c r="CY18" s="25">
        <f t="shared" si="23"/>
        <v>0</v>
      </c>
      <c r="CZ18" s="25">
        <f t="shared" si="16"/>
        <v>0</v>
      </c>
      <c r="DA18" s="25">
        <f t="shared" si="16"/>
        <v>0</v>
      </c>
      <c r="DB18" s="25">
        <f t="shared" si="16"/>
        <v>0</v>
      </c>
      <c r="DC18" s="25">
        <f t="shared" ref="DC18:DE19" si="24">+T18-CH18</f>
        <v>0</v>
      </c>
      <c r="DD18" s="25">
        <f t="shared" si="24"/>
        <v>0</v>
      </c>
      <c r="DE18" s="25">
        <f t="shared" si="24"/>
        <v>0</v>
      </c>
      <c r="DF18" s="25"/>
      <c r="DG18" s="25">
        <f t="shared" ref="DG18:DI19" si="25">+X18-CL18</f>
        <v>0</v>
      </c>
      <c r="DH18" s="25">
        <f t="shared" si="25"/>
        <v>0</v>
      </c>
      <c r="DI18" s="25">
        <f t="shared" si="25"/>
        <v>0</v>
      </c>
      <c r="DK18" s="78"/>
      <c r="DL18" s="78"/>
      <c r="DM18" s="78"/>
      <c r="DN18" s="78"/>
      <c r="DO18" s="78"/>
    </row>
    <row r="19" spans="1:119" ht="28.5" hidden="1" customHeight="1" x14ac:dyDescent="0.25">
      <c r="A19" s="38"/>
      <c r="B19" s="170"/>
      <c r="C19" s="21" t="s">
        <v>83</v>
      </c>
      <c r="D19" s="22" t="s">
        <v>84</v>
      </c>
      <c r="E19" s="23">
        <v>510</v>
      </c>
      <c r="F19" s="24" t="s">
        <v>85</v>
      </c>
      <c r="G19" s="25">
        <f t="shared" si="0"/>
        <v>61000000</v>
      </c>
      <c r="H19" s="25"/>
      <c r="I19" s="25"/>
      <c r="J19" s="25"/>
      <c r="K19" s="25">
        <v>40000000</v>
      </c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>
        <v>21000000</v>
      </c>
      <c r="AB19" s="27">
        <f t="shared" si="1"/>
        <v>0.95467993442622956</v>
      </c>
      <c r="AC19" s="25">
        <f t="shared" si="2"/>
        <v>58235476</v>
      </c>
      <c r="AD19" s="25"/>
      <c r="AE19" s="25"/>
      <c r="AF19" s="25"/>
      <c r="AG19" s="25"/>
      <c r="AH19" s="25">
        <f>+'[1]AGOSTO 2016'!$O$2418</f>
        <v>37235476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>
        <f>+'[1]AGOSTO 2016'!$AG$2418</f>
        <v>21000000</v>
      </c>
      <c r="AX19" s="27">
        <f t="shared" si="3"/>
        <v>4.5320065573770441E-2</v>
      </c>
      <c r="AY19" s="25">
        <f t="shared" si="4"/>
        <v>2764524</v>
      </c>
      <c r="AZ19" s="25">
        <f t="shared" si="21"/>
        <v>0</v>
      </c>
      <c r="BA19" s="25">
        <f t="shared" si="21"/>
        <v>0</v>
      </c>
      <c r="BB19" s="25">
        <f t="shared" si="21"/>
        <v>0</v>
      </c>
      <c r="BC19" s="25">
        <f>+K19-AH19</f>
        <v>2764524</v>
      </c>
      <c r="BD19" s="25">
        <f t="shared" si="22"/>
        <v>0</v>
      </c>
      <c r="BE19" s="25">
        <f t="shared" si="22"/>
        <v>0</v>
      </c>
      <c r="BF19" s="25">
        <f t="shared" si="22"/>
        <v>0</v>
      </c>
      <c r="BG19" s="25">
        <f t="shared" si="22"/>
        <v>0</v>
      </c>
      <c r="BH19" s="25">
        <f t="shared" si="22"/>
        <v>0</v>
      </c>
      <c r="BI19" s="25">
        <f t="shared" si="22"/>
        <v>0</v>
      </c>
      <c r="BJ19" s="25">
        <f t="shared" si="22"/>
        <v>0</v>
      </c>
      <c r="BK19" s="25">
        <f t="shared" si="22"/>
        <v>0</v>
      </c>
      <c r="BL19" s="25">
        <f t="shared" si="22"/>
        <v>0</v>
      </c>
      <c r="BM19" s="25">
        <f t="shared" si="22"/>
        <v>0</v>
      </c>
      <c r="BN19" s="25">
        <f t="shared" si="22"/>
        <v>0</v>
      </c>
      <c r="BO19" s="25"/>
      <c r="BP19" s="25"/>
      <c r="BQ19" s="25">
        <f>Y19-AV19</f>
        <v>0</v>
      </c>
      <c r="BR19" s="25">
        <f>+Z19-AW19</f>
        <v>0</v>
      </c>
      <c r="BS19" s="27">
        <f t="shared" si="10"/>
        <v>0.56934737704918037</v>
      </c>
      <c r="BT19" s="25">
        <f t="shared" si="11"/>
        <v>34730190</v>
      </c>
      <c r="BU19" s="25"/>
      <c r="BV19" s="25"/>
      <c r="BW19" s="25"/>
      <c r="BX19" s="25"/>
      <c r="BY19" s="25">
        <f>+'[1]AGOSTO 2016'!$H$2416</f>
        <v>34730190</v>
      </c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7">
        <f t="shared" si="12"/>
        <v>0.43065262295081963</v>
      </c>
      <c r="CP19" s="25">
        <f t="shared" si="13"/>
        <v>26269810</v>
      </c>
      <c r="CQ19" s="25">
        <f t="shared" si="14"/>
        <v>0</v>
      </c>
      <c r="CR19" s="25">
        <f t="shared" si="14"/>
        <v>0</v>
      </c>
      <c r="CS19" s="25">
        <f t="shared" si="14"/>
        <v>0</v>
      </c>
      <c r="CT19" s="25">
        <f t="shared" si="14"/>
        <v>5269810</v>
      </c>
      <c r="CU19" s="25">
        <f t="shared" si="14"/>
        <v>0</v>
      </c>
      <c r="CV19" s="25">
        <f t="shared" si="14"/>
        <v>0</v>
      </c>
      <c r="CW19" s="25">
        <f t="shared" si="23"/>
        <v>0</v>
      </c>
      <c r="CX19" s="25">
        <f t="shared" si="23"/>
        <v>0</v>
      </c>
      <c r="CY19" s="25">
        <f t="shared" si="23"/>
        <v>0</v>
      </c>
      <c r="CZ19" s="25">
        <f t="shared" si="16"/>
        <v>0</v>
      </c>
      <c r="DA19" s="25">
        <f t="shared" si="16"/>
        <v>0</v>
      </c>
      <c r="DB19" s="25">
        <f t="shared" si="16"/>
        <v>0</v>
      </c>
      <c r="DC19" s="25">
        <f t="shared" si="24"/>
        <v>0</v>
      </c>
      <c r="DD19" s="25">
        <f t="shared" si="24"/>
        <v>0</v>
      </c>
      <c r="DE19" s="25">
        <f t="shared" si="24"/>
        <v>0</v>
      </c>
      <c r="DF19" s="25"/>
      <c r="DG19" s="25">
        <f t="shared" si="25"/>
        <v>0</v>
      </c>
      <c r="DH19" s="25">
        <f t="shared" si="25"/>
        <v>0</v>
      </c>
      <c r="DI19" s="25">
        <f t="shared" si="25"/>
        <v>21000000</v>
      </c>
      <c r="DK19" s="78"/>
      <c r="DL19" s="78"/>
      <c r="DM19" s="78"/>
      <c r="DN19" s="78"/>
      <c r="DO19" s="78"/>
    </row>
    <row r="20" spans="1:119" s="47" customFormat="1" ht="17.25" customHeight="1" thickBot="1" x14ac:dyDescent="0.3">
      <c r="A20" s="39"/>
      <c r="B20" s="241" t="s">
        <v>376</v>
      </c>
      <c r="C20" s="242"/>
      <c r="D20" s="242"/>
      <c r="E20" s="243"/>
      <c r="F20" s="40"/>
      <c r="G20" s="41">
        <f t="shared" ref="G20:V20" si="26">SUM(G4:G19)</f>
        <v>1437480977</v>
      </c>
      <c r="H20" s="41">
        <f t="shared" si="26"/>
        <v>0</v>
      </c>
      <c r="I20" s="41">
        <f t="shared" si="26"/>
        <v>450000000</v>
      </c>
      <c r="J20" s="41">
        <f t="shared" si="26"/>
        <v>0</v>
      </c>
      <c r="K20" s="41">
        <f t="shared" si="26"/>
        <v>749568554</v>
      </c>
      <c r="L20" s="41">
        <f t="shared" si="26"/>
        <v>14004396</v>
      </c>
      <c r="M20" s="41">
        <f t="shared" si="26"/>
        <v>0</v>
      </c>
      <c r="N20" s="41">
        <f t="shared" si="26"/>
        <v>0</v>
      </c>
      <c r="O20" s="41">
        <f t="shared" si="26"/>
        <v>0</v>
      </c>
      <c r="P20" s="41">
        <f t="shared" si="26"/>
        <v>0</v>
      </c>
      <c r="Q20" s="41">
        <f t="shared" si="26"/>
        <v>0</v>
      </c>
      <c r="R20" s="41">
        <f t="shared" si="26"/>
        <v>0</v>
      </c>
      <c r="S20" s="41">
        <f t="shared" si="26"/>
        <v>30431446</v>
      </c>
      <c r="T20" s="41">
        <f t="shared" si="26"/>
        <v>1796640</v>
      </c>
      <c r="U20" s="41">
        <f t="shared" si="26"/>
        <v>0</v>
      </c>
      <c r="V20" s="41">
        <f t="shared" si="26"/>
        <v>0</v>
      </c>
      <c r="W20" s="41"/>
      <c r="X20" s="41">
        <f>SUM(X4:X19)</f>
        <v>0</v>
      </c>
      <c r="Y20" s="41">
        <f>SUM(Y4:Y19)</f>
        <v>0</v>
      </c>
      <c r="Z20" s="41">
        <f>SUM(Z4:Z19)</f>
        <v>191679941</v>
      </c>
      <c r="AA20" s="42"/>
      <c r="AB20" s="43">
        <f t="shared" si="1"/>
        <v>0.64029251289354627</v>
      </c>
      <c r="AC20" s="44">
        <f>SUM(AC4:AC19)</f>
        <v>920408307</v>
      </c>
      <c r="AD20" s="44"/>
      <c r="AE20" s="44">
        <f t="shared" ref="AE20:AW20" si="27">SUM(AE4:AE19)</f>
        <v>0</v>
      </c>
      <c r="AF20" s="44">
        <f t="shared" si="27"/>
        <v>75171597</v>
      </c>
      <c r="AG20" s="44">
        <f t="shared" si="27"/>
        <v>0</v>
      </c>
      <c r="AH20" s="44">
        <f t="shared" si="27"/>
        <v>684901135</v>
      </c>
      <c r="AI20" s="44">
        <f t="shared" si="27"/>
        <v>14004396</v>
      </c>
      <c r="AJ20" s="44">
        <f t="shared" si="27"/>
        <v>0</v>
      </c>
      <c r="AK20" s="44">
        <f t="shared" si="27"/>
        <v>0</v>
      </c>
      <c r="AL20" s="44">
        <f t="shared" si="27"/>
        <v>0</v>
      </c>
      <c r="AM20" s="44">
        <f t="shared" si="27"/>
        <v>0</v>
      </c>
      <c r="AN20" s="44">
        <f t="shared" si="27"/>
        <v>0</v>
      </c>
      <c r="AO20" s="44">
        <f t="shared" si="27"/>
        <v>0</v>
      </c>
      <c r="AP20" s="44">
        <f t="shared" si="27"/>
        <v>23188762</v>
      </c>
      <c r="AQ20" s="44">
        <f t="shared" si="27"/>
        <v>1796640</v>
      </c>
      <c r="AR20" s="44">
        <f t="shared" si="27"/>
        <v>0</v>
      </c>
      <c r="AS20" s="44">
        <f t="shared" si="27"/>
        <v>0</v>
      </c>
      <c r="AT20" s="44">
        <f t="shared" si="27"/>
        <v>0</v>
      </c>
      <c r="AU20" s="44">
        <f t="shared" si="27"/>
        <v>0</v>
      </c>
      <c r="AV20" s="44">
        <f t="shared" si="27"/>
        <v>0</v>
      </c>
      <c r="AW20" s="44">
        <f t="shared" si="27"/>
        <v>121345777</v>
      </c>
      <c r="AX20" s="45">
        <f t="shared" si="3"/>
        <v>0.35970748710645373</v>
      </c>
      <c r="AY20" s="44">
        <f t="shared" ref="AY20:BN20" si="28">SUM(AY4:AY19)</f>
        <v>517072670</v>
      </c>
      <c r="AZ20" s="44">
        <f t="shared" si="28"/>
        <v>0</v>
      </c>
      <c r="BA20" s="44">
        <f t="shared" si="28"/>
        <v>374828403</v>
      </c>
      <c r="BB20" s="44">
        <f t="shared" si="28"/>
        <v>0</v>
      </c>
      <c r="BC20" s="44">
        <f t="shared" si="28"/>
        <v>64667419</v>
      </c>
      <c r="BD20" s="44">
        <f t="shared" si="28"/>
        <v>0</v>
      </c>
      <c r="BE20" s="44">
        <f t="shared" si="28"/>
        <v>0</v>
      </c>
      <c r="BF20" s="44">
        <f t="shared" si="28"/>
        <v>0</v>
      </c>
      <c r="BG20" s="44">
        <f t="shared" si="28"/>
        <v>0</v>
      </c>
      <c r="BH20" s="44">
        <f t="shared" si="28"/>
        <v>0</v>
      </c>
      <c r="BI20" s="44">
        <f t="shared" si="28"/>
        <v>0</v>
      </c>
      <c r="BJ20" s="44">
        <f t="shared" si="28"/>
        <v>0</v>
      </c>
      <c r="BK20" s="44">
        <f t="shared" si="28"/>
        <v>7242684</v>
      </c>
      <c r="BL20" s="44">
        <f t="shared" si="28"/>
        <v>0</v>
      </c>
      <c r="BM20" s="44">
        <f t="shared" si="28"/>
        <v>0</v>
      </c>
      <c r="BN20" s="44">
        <f t="shared" si="28"/>
        <v>0</v>
      </c>
      <c r="BO20" s="44"/>
      <c r="BP20" s="44">
        <f>SUM(BP4:BP19)</f>
        <v>0</v>
      </c>
      <c r="BQ20" s="44">
        <f>SUM(BQ4:BQ19)</f>
        <v>0</v>
      </c>
      <c r="BR20" s="44">
        <f>SUM(BR4:BR19)</f>
        <v>70334164</v>
      </c>
      <c r="BS20" s="45">
        <f t="shared" si="10"/>
        <v>0.53056511578448529</v>
      </c>
      <c r="BT20" s="44">
        <f t="shared" ref="BT20:CJ20" si="29">SUM(BT4:BT19)</f>
        <v>762677261</v>
      </c>
      <c r="BU20" s="44">
        <f t="shared" si="29"/>
        <v>0</v>
      </c>
      <c r="BV20" s="44">
        <f t="shared" si="29"/>
        <v>0</v>
      </c>
      <c r="BW20" s="44">
        <f t="shared" si="29"/>
        <v>74671597</v>
      </c>
      <c r="BX20" s="44">
        <f t="shared" si="29"/>
        <v>0</v>
      </c>
      <c r="BY20" s="44">
        <f t="shared" si="29"/>
        <v>560725189</v>
      </c>
      <c r="BZ20" s="44">
        <f t="shared" si="29"/>
        <v>14004396</v>
      </c>
      <c r="CA20" s="44">
        <f t="shared" si="29"/>
        <v>0</v>
      </c>
      <c r="CB20" s="44">
        <f t="shared" si="29"/>
        <v>0</v>
      </c>
      <c r="CC20" s="44">
        <f t="shared" si="29"/>
        <v>0</v>
      </c>
      <c r="CD20" s="44">
        <f t="shared" si="29"/>
        <v>0</v>
      </c>
      <c r="CE20" s="44">
        <f t="shared" si="29"/>
        <v>0</v>
      </c>
      <c r="CF20" s="44">
        <f t="shared" si="29"/>
        <v>0</v>
      </c>
      <c r="CG20" s="44">
        <f t="shared" si="29"/>
        <v>23178230</v>
      </c>
      <c r="CH20" s="44">
        <f t="shared" si="29"/>
        <v>1796640</v>
      </c>
      <c r="CI20" s="44">
        <f t="shared" si="29"/>
        <v>0</v>
      </c>
      <c r="CJ20" s="44">
        <f t="shared" si="29"/>
        <v>0</v>
      </c>
      <c r="CK20" s="44"/>
      <c r="CL20" s="44">
        <f>SUM(CL4:CL19)</f>
        <v>0</v>
      </c>
      <c r="CM20" s="44">
        <f>SUM(CM4:CM19)</f>
        <v>0</v>
      </c>
      <c r="CN20" s="44">
        <f>SUM(CN4:CN19)</f>
        <v>88301209</v>
      </c>
      <c r="CO20" s="45">
        <f t="shared" si="12"/>
        <v>0.46943488421551471</v>
      </c>
      <c r="CP20" s="44">
        <f t="shared" ref="CP20:DI20" si="30">SUM(CP4:CP19)</f>
        <v>674803716</v>
      </c>
      <c r="CQ20" s="44">
        <f t="shared" si="30"/>
        <v>0</v>
      </c>
      <c r="CR20" s="44">
        <f t="shared" si="30"/>
        <v>375328403</v>
      </c>
      <c r="CS20" s="44">
        <f t="shared" si="30"/>
        <v>0</v>
      </c>
      <c r="CT20" s="44">
        <f t="shared" si="30"/>
        <v>188843365</v>
      </c>
      <c r="CU20" s="44">
        <f t="shared" si="30"/>
        <v>0</v>
      </c>
      <c r="CV20" s="44">
        <f t="shared" si="30"/>
        <v>0</v>
      </c>
      <c r="CW20" s="44">
        <f t="shared" si="30"/>
        <v>0</v>
      </c>
      <c r="CX20" s="44">
        <f t="shared" si="30"/>
        <v>0</v>
      </c>
      <c r="CY20" s="44">
        <f t="shared" si="30"/>
        <v>0</v>
      </c>
      <c r="CZ20" s="44">
        <f t="shared" si="30"/>
        <v>0</v>
      </c>
      <c r="DA20" s="44">
        <f t="shared" si="30"/>
        <v>0</v>
      </c>
      <c r="DB20" s="44">
        <f t="shared" si="30"/>
        <v>7253216</v>
      </c>
      <c r="DC20" s="44">
        <f t="shared" si="30"/>
        <v>0</v>
      </c>
      <c r="DD20" s="44">
        <f t="shared" si="30"/>
        <v>0</v>
      </c>
      <c r="DE20" s="44">
        <f t="shared" si="30"/>
        <v>0</v>
      </c>
      <c r="DF20" s="44">
        <f t="shared" si="30"/>
        <v>0</v>
      </c>
      <c r="DG20" s="44">
        <f t="shared" si="30"/>
        <v>0</v>
      </c>
      <c r="DH20" s="44">
        <f t="shared" si="30"/>
        <v>0</v>
      </c>
      <c r="DI20" s="46">
        <f t="shared" si="30"/>
        <v>103378732</v>
      </c>
      <c r="DK20" s="275" t="s">
        <v>392</v>
      </c>
      <c r="DL20" s="275"/>
      <c r="DM20" s="276">
        <f>+G20</f>
        <v>1437480977</v>
      </c>
      <c r="DN20" s="277">
        <f>+BT20</f>
        <v>762677261</v>
      </c>
      <c r="DO20" s="278">
        <f>+BS20</f>
        <v>0.53056511578448529</v>
      </c>
    </row>
    <row r="21" spans="1:119" ht="40.5" hidden="1" customHeight="1" thickTop="1" x14ac:dyDescent="0.25">
      <c r="A21" s="20" t="s">
        <v>87</v>
      </c>
      <c r="B21" s="192" t="s">
        <v>88</v>
      </c>
      <c r="C21" s="21" t="s">
        <v>89</v>
      </c>
      <c r="D21" s="22" t="s">
        <v>90</v>
      </c>
      <c r="E21" s="23">
        <v>410</v>
      </c>
      <c r="F21" s="48" t="s">
        <v>91</v>
      </c>
      <c r="G21" s="25">
        <f t="shared" ref="G21:G57" si="31">SUM(H21:Z21)</f>
        <v>450000000</v>
      </c>
      <c r="H21" s="49"/>
      <c r="I21" s="25">
        <v>450000000</v>
      </c>
      <c r="J21" s="50"/>
      <c r="K21" s="25"/>
      <c r="L21" s="49"/>
      <c r="M21" s="50"/>
      <c r="N21" s="50"/>
      <c r="O21" s="50"/>
      <c r="P21" s="50"/>
      <c r="Q21" s="51"/>
      <c r="R21" s="50"/>
      <c r="S21" s="50"/>
      <c r="T21" s="50"/>
      <c r="U21" s="50"/>
      <c r="V21" s="50"/>
      <c r="W21" s="50"/>
      <c r="X21" s="50"/>
      <c r="Y21" s="50"/>
      <c r="Z21" s="50"/>
      <c r="AB21" s="52">
        <f t="shared" si="1"/>
        <v>0.99897389333333331</v>
      </c>
      <c r="AC21" s="25">
        <f t="shared" ref="AC21:AC57" si="32">SUM(AD21:AW21)</f>
        <v>449538252</v>
      </c>
      <c r="AD21" s="25"/>
      <c r="AE21" s="25"/>
      <c r="AF21" s="25">
        <f>+'[1]AGOSTO 2016'!$M$962</f>
        <v>449538252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7">
        <f t="shared" si="3"/>
        <v>1.0261066666666929E-3</v>
      </c>
      <c r="AY21" s="25">
        <f t="shared" ref="AY21:AY57" si="33">SUM(AZ21:BR21)</f>
        <v>461748</v>
      </c>
      <c r="AZ21" s="25">
        <f t="shared" ref="AZ21:BN57" si="34">H21-AE21</f>
        <v>0</v>
      </c>
      <c r="BA21" s="25">
        <f t="shared" si="34"/>
        <v>461748</v>
      </c>
      <c r="BB21" s="25">
        <f t="shared" si="34"/>
        <v>0</v>
      </c>
      <c r="BC21" s="25">
        <f t="shared" ref="BC21:BN35" si="35">+K21-AH21</f>
        <v>0</v>
      </c>
      <c r="BD21" s="25">
        <f t="shared" si="35"/>
        <v>0</v>
      </c>
      <c r="BE21" s="25">
        <f t="shared" si="35"/>
        <v>0</v>
      </c>
      <c r="BF21" s="25">
        <f t="shared" si="35"/>
        <v>0</v>
      </c>
      <c r="BG21" s="25">
        <f t="shared" si="35"/>
        <v>0</v>
      </c>
      <c r="BH21" s="25">
        <f t="shared" si="35"/>
        <v>0</v>
      </c>
      <c r="BI21" s="25">
        <f t="shared" si="35"/>
        <v>0</v>
      </c>
      <c r="BJ21" s="25">
        <f t="shared" si="35"/>
        <v>0</v>
      </c>
      <c r="BK21" s="25">
        <f t="shared" si="35"/>
        <v>0</v>
      </c>
      <c r="BL21" s="25">
        <f t="shared" si="35"/>
        <v>0</v>
      </c>
      <c r="BM21" s="25">
        <f t="shared" si="35"/>
        <v>0</v>
      </c>
      <c r="BN21" s="25">
        <f t="shared" si="35"/>
        <v>0</v>
      </c>
      <c r="BO21" s="25"/>
      <c r="BP21" s="25"/>
      <c r="BQ21" s="25"/>
      <c r="BR21" s="25">
        <f t="shared" ref="BR21:BR35" si="36">+Z21-AW21</f>
        <v>0</v>
      </c>
      <c r="BS21" s="27">
        <f t="shared" si="10"/>
        <v>0.28551611555555556</v>
      </c>
      <c r="BT21" s="25">
        <f t="shared" ref="BT21:BT57" si="37">SUM(BU21:CN21)</f>
        <v>128482252</v>
      </c>
      <c r="BU21" s="25"/>
      <c r="BV21" s="25"/>
      <c r="BW21" s="25">
        <f>+'[1]AGOSTO 2016'!$H$960</f>
        <v>128482252</v>
      </c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7">
        <f t="shared" si="12"/>
        <v>0.71448388444444444</v>
      </c>
      <c r="CP21" s="25">
        <f t="shared" ref="CP21:CP57" si="38">SUM(CQ21:DI21)</f>
        <v>321517748</v>
      </c>
      <c r="CQ21" s="25">
        <f t="shared" ref="CQ21:CV57" si="39">H21-BV21</f>
        <v>0</v>
      </c>
      <c r="CR21" s="25">
        <f t="shared" si="39"/>
        <v>321517748</v>
      </c>
      <c r="CS21" s="25">
        <f t="shared" si="39"/>
        <v>0</v>
      </c>
      <c r="CT21" s="25">
        <f t="shared" si="39"/>
        <v>0</v>
      </c>
      <c r="CU21" s="25">
        <f t="shared" si="39"/>
        <v>0</v>
      </c>
      <c r="CV21" s="25">
        <f t="shared" si="39"/>
        <v>0</v>
      </c>
      <c r="CW21" s="25">
        <f t="shared" ref="CW21:CY35" si="40">+N21-CB21</f>
        <v>0</v>
      </c>
      <c r="CX21" s="25">
        <f t="shared" si="40"/>
        <v>0</v>
      </c>
      <c r="CY21" s="25">
        <f t="shared" si="40"/>
        <v>0</v>
      </c>
      <c r="CZ21" s="25">
        <f t="shared" ref="CZ21:DE45" si="41">Q21-CE21</f>
        <v>0</v>
      </c>
      <c r="DA21" s="25">
        <f t="shared" si="41"/>
        <v>0</v>
      </c>
      <c r="DB21" s="25">
        <f t="shared" si="41"/>
        <v>0</v>
      </c>
      <c r="DC21" s="25">
        <f t="shared" ref="DC21:DE29" si="42">+T21-CH21</f>
        <v>0</v>
      </c>
      <c r="DD21" s="25">
        <f t="shared" si="42"/>
        <v>0</v>
      </c>
      <c r="DE21" s="25">
        <f t="shared" si="42"/>
        <v>0</v>
      </c>
      <c r="DF21" s="25"/>
      <c r="DG21" s="25">
        <f t="shared" ref="DG21:DI29" si="43">+X21-CL21</f>
        <v>0</v>
      </c>
      <c r="DH21" s="25">
        <f t="shared" si="43"/>
        <v>0</v>
      </c>
      <c r="DI21" s="25">
        <f t="shared" si="43"/>
        <v>0</v>
      </c>
      <c r="DK21" s="78"/>
      <c r="DL21" s="78"/>
      <c r="DM21" s="276">
        <f t="shared" ref="DM21:DM84" si="44">+G21</f>
        <v>450000000</v>
      </c>
      <c r="DN21" s="277">
        <f t="shared" ref="DN21:DN84" si="45">+BT21</f>
        <v>128482252</v>
      </c>
      <c r="DO21" s="78"/>
    </row>
    <row r="22" spans="1:119" ht="48.75" hidden="1" customHeight="1" x14ac:dyDescent="0.25">
      <c r="A22" s="31"/>
      <c r="B22" s="187"/>
      <c r="C22" s="21" t="s">
        <v>92</v>
      </c>
      <c r="D22" s="22" t="s">
        <v>93</v>
      </c>
      <c r="E22" s="23">
        <v>410</v>
      </c>
      <c r="F22" s="24" t="s">
        <v>91</v>
      </c>
      <c r="G22" s="25">
        <f t="shared" si="31"/>
        <v>150000000</v>
      </c>
      <c r="H22" s="25"/>
      <c r="I22" s="25">
        <v>150000000</v>
      </c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B22" s="27">
        <f t="shared" si="1"/>
        <v>0.88881006666666662</v>
      </c>
      <c r="AC22" s="25">
        <f t="shared" si="32"/>
        <v>133321510</v>
      </c>
      <c r="AD22" s="25"/>
      <c r="AE22" s="25"/>
      <c r="AF22" s="25">
        <f>+'[1]AGOSTO 2016'!$M$978</f>
        <v>133321510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7">
        <f t="shared" si="3"/>
        <v>0.11118993333333338</v>
      </c>
      <c r="AY22" s="25">
        <f t="shared" si="33"/>
        <v>16678490</v>
      </c>
      <c r="AZ22" s="25">
        <f t="shared" si="34"/>
        <v>0</v>
      </c>
      <c r="BA22" s="25">
        <f t="shared" si="34"/>
        <v>16678490</v>
      </c>
      <c r="BB22" s="25">
        <f t="shared" si="34"/>
        <v>0</v>
      </c>
      <c r="BC22" s="25">
        <f t="shared" si="35"/>
        <v>0</v>
      </c>
      <c r="BD22" s="25">
        <f t="shared" si="35"/>
        <v>0</v>
      </c>
      <c r="BE22" s="25">
        <f t="shared" si="35"/>
        <v>0</v>
      </c>
      <c r="BF22" s="25">
        <f t="shared" si="35"/>
        <v>0</v>
      </c>
      <c r="BG22" s="25">
        <f t="shared" si="35"/>
        <v>0</v>
      </c>
      <c r="BH22" s="25">
        <f t="shared" si="35"/>
        <v>0</v>
      </c>
      <c r="BI22" s="25">
        <f t="shared" si="35"/>
        <v>0</v>
      </c>
      <c r="BJ22" s="25">
        <f t="shared" si="35"/>
        <v>0</v>
      </c>
      <c r="BK22" s="25">
        <f t="shared" si="35"/>
        <v>0</v>
      </c>
      <c r="BL22" s="25">
        <f t="shared" si="35"/>
        <v>0</v>
      </c>
      <c r="BM22" s="25">
        <f t="shared" si="35"/>
        <v>0</v>
      </c>
      <c r="BN22" s="25">
        <f t="shared" si="35"/>
        <v>0</v>
      </c>
      <c r="BO22" s="25"/>
      <c r="BP22" s="25"/>
      <c r="BQ22" s="25"/>
      <c r="BR22" s="25">
        <f t="shared" si="36"/>
        <v>0</v>
      </c>
      <c r="BS22" s="27">
        <f t="shared" si="10"/>
        <v>0.39470993333333332</v>
      </c>
      <c r="BT22" s="25">
        <f t="shared" si="37"/>
        <v>59206490</v>
      </c>
      <c r="BU22" s="25"/>
      <c r="BV22" s="25"/>
      <c r="BW22" s="25">
        <f>+'[1]AGOSTO 2016'!$H$976</f>
        <v>59206490</v>
      </c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7">
        <f t="shared" si="12"/>
        <v>0.60529006666666674</v>
      </c>
      <c r="CP22" s="25">
        <f t="shared" si="38"/>
        <v>90793510</v>
      </c>
      <c r="CQ22" s="25">
        <f t="shared" si="39"/>
        <v>0</v>
      </c>
      <c r="CR22" s="25">
        <f t="shared" si="39"/>
        <v>90793510</v>
      </c>
      <c r="CS22" s="25">
        <f t="shared" si="39"/>
        <v>0</v>
      </c>
      <c r="CT22" s="25">
        <f t="shared" si="39"/>
        <v>0</v>
      </c>
      <c r="CU22" s="25">
        <f t="shared" si="39"/>
        <v>0</v>
      </c>
      <c r="CV22" s="25">
        <f t="shared" si="39"/>
        <v>0</v>
      </c>
      <c r="CW22" s="25">
        <f t="shared" si="40"/>
        <v>0</v>
      </c>
      <c r="CX22" s="25">
        <f t="shared" si="40"/>
        <v>0</v>
      </c>
      <c r="CY22" s="25">
        <f t="shared" si="40"/>
        <v>0</v>
      </c>
      <c r="CZ22" s="25">
        <f t="shared" si="41"/>
        <v>0</v>
      </c>
      <c r="DA22" s="25">
        <f t="shared" si="41"/>
        <v>0</v>
      </c>
      <c r="DB22" s="25">
        <f t="shared" si="41"/>
        <v>0</v>
      </c>
      <c r="DC22" s="25">
        <f t="shared" si="42"/>
        <v>0</v>
      </c>
      <c r="DD22" s="25">
        <f t="shared" si="42"/>
        <v>0</v>
      </c>
      <c r="DE22" s="25">
        <f t="shared" si="42"/>
        <v>0</v>
      </c>
      <c r="DF22" s="25"/>
      <c r="DG22" s="25">
        <f t="shared" si="43"/>
        <v>0</v>
      </c>
      <c r="DH22" s="25">
        <f t="shared" si="43"/>
        <v>0</v>
      </c>
      <c r="DI22" s="25">
        <f t="shared" si="43"/>
        <v>0</v>
      </c>
      <c r="DK22" s="78"/>
      <c r="DL22" s="78"/>
      <c r="DM22" s="276">
        <f t="shared" si="44"/>
        <v>150000000</v>
      </c>
      <c r="DN22" s="277">
        <f t="shared" si="45"/>
        <v>59206490</v>
      </c>
      <c r="DO22" s="78"/>
    </row>
    <row r="23" spans="1:119" ht="33.75" hidden="1" customHeight="1" x14ac:dyDescent="0.25">
      <c r="A23" s="31"/>
      <c r="B23" s="188"/>
      <c r="C23" s="21" t="s">
        <v>94</v>
      </c>
      <c r="D23" s="22" t="s">
        <v>95</v>
      </c>
      <c r="E23" s="23">
        <v>410</v>
      </c>
      <c r="F23" s="24" t="s">
        <v>91</v>
      </c>
      <c r="G23" s="25">
        <f t="shared" si="31"/>
        <v>600000000</v>
      </c>
      <c r="H23" s="25"/>
      <c r="I23" s="25">
        <f>200000000+400000000</f>
        <v>600000000</v>
      </c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B23" s="27">
        <f t="shared" si="1"/>
        <v>1</v>
      </c>
      <c r="AC23" s="25">
        <f t="shared" si="32"/>
        <v>600000000</v>
      </c>
      <c r="AD23" s="25"/>
      <c r="AE23" s="25"/>
      <c r="AF23" s="25">
        <f>+'[1]AGOSTO 2016'!$M$993</f>
        <v>600000000</v>
      </c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7">
        <f t="shared" si="3"/>
        <v>0</v>
      </c>
      <c r="AY23" s="25">
        <f t="shared" si="33"/>
        <v>0</v>
      </c>
      <c r="AZ23" s="25">
        <f t="shared" si="34"/>
        <v>0</v>
      </c>
      <c r="BA23" s="25">
        <f t="shared" si="34"/>
        <v>0</v>
      </c>
      <c r="BB23" s="25">
        <f t="shared" si="34"/>
        <v>0</v>
      </c>
      <c r="BC23" s="25">
        <f t="shared" si="35"/>
        <v>0</v>
      </c>
      <c r="BD23" s="25">
        <f t="shared" si="35"/>
        <v>0</v>
      </c>
      <c r="BE23" s="25">
        <f t="shared" si="35"/>
        <v>0</v>
      </c>
      <c r="BF23" s="25">
        <f t="shared" si="35"/>
        <v>0</v>
      </c>
      <c r="BG23" s="25">
        <f t="shared" si="35"/>
        <v>0</v>
      </c>
      <c r="BH23" s="25">
        <f t="shared" si="35"/>
        <v>0</v>
      </c>
      <c r="BI23" s="25">
        <f t="shared" si="35"/>
        <v>0</v>
      </c>
      <c r="BJ23" s="25">
        <f t="shared" si="35"/>
        <v>0</v>
      </c>
      <c r="BK23" s="25">
        <f t="shared" si="35"/>
        <v>0</v>
      </c>
      <c r="BL23" s="25">
        <f t="shared" si="35"/>
        <v>0</v>
      </c>
      <c r="BM23" s="25">
        <f t="shared" si="35"/>
        <v>0</v>
      </c>
      <c r="BN23" s="25">
        <f t="shared" si="35"/>
        <v>0</v>
      </c>
      <c r="BO23" s="25"/>
      <c r="BP23" s="25"/>
      <c r="BQ23" s="25"/>
      <c r="BR23" s="25">
        <f t="shared" si="36"/>
        <v>0</v>
      </c>
      <c r="BS23" s="27">
        <f t="shared" si="10"/>
        <v>0.49147521999999999</v>
      </c>
      <c r="BT23" s="25">
        <f t="shared" si="37"/>
        <v>294885132</v>
      </c>
      <c r="BU23" s="25"/>
      <c r="BV23" s="25"/>
      <c r="BW23" s="25">
        <f>+'[1]AGOSTO 2016'!$H$991</f>
        <v>294885132</v>
      </c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7">
        <f t="shared" si="12"/>
        <v>0.50852478000000001</v>
      </c>
      <c r="CP23" s="25">
        <f t="shared" si="38"/>
        <v>305114868</v>
      </c>
      <c r="CQ23" s="25">
        <f t="shared" si="39"/>
        <v>0</v>
      </c>
      <c r="CR23" s="25">
        <f t="shared" si="39"/>
        <v>305114868</v>
      </c>
      <c r="CS23" s="25">
        <f t="shared" si="39"/>
        <v>0</v>
      </c>
      <c r="CT23" s="25">
        <f t="shared" si="39"/>
        <v>0</v>
      </c>
      <c r="CU23" s="25">
        <f t="shared" si="39"/>
        <v>0</v>
      </c>
      <c r="CV23" s="25">
        <f t="shared" si="39"/>
        <v>0</v>
      </c>
      <c r="CW23" s="25">
        <f t="shared" si="40"/>
        <v>0</v>
      </c>
      <c r="CX23" s="25">
        <f t="shared" si="40"/>
        <v>0</v>
      </c>
      <c r="CY23" s="25">
        <f t="shared" si="40"/>
        <v>0</v>
      </c>
      <c r="CZ23" s="25">
        <f t="shared" si="41"/>
        <v>0</v>
      </c>
      <c r="DA23" s="25">
        <f t="shared" si="41"/>
        <v>0</v>
      </c>
      <c r="DB23" s="25">
        <f t="shared" si="41"/>
        <v>0</v>
      </c>
      <c r="DC23" s="25">
        <f t="shared" si="42"/>
        <v>0</v>
      </c>
      <c r="DD23" s="25">
        <f t="shared" si="42"/>
        <v>0</v>
      </c>
      <c r="DE23" s="25">
        <f t="shared" si="42"/>
        <v>0</v>
      </c>
      <c r="DF23" s="25"/>
      <c r="DG23" s="25">
        <f t="shared" si="43"/>
        <v>0</v>
      </c>
      <c r="DH23" s="25">
        <f t="shared" si="43"/>
        <v>0</v>
      </c>
      <c r="DI23" s="25">
        <f t="shared" si="43"/>
        <v>0</v>
      </c>
      <c r="DK23" s="78"/>
      <c r="DL23" s="78"/>
      <c r="DM23" s="276">
        <f t="shared" si="44"/>
        <v>600000000</v>
      </c>
      <c r="DN23" s="277">
        <f t="shared" si="45"/>
        <v>294885132</v>
      </c>
      <c r="DO23" s="78"/>
    </row>
    <row r="24" spans="1:119" ht="36" hidden="1" customHeight="1" x14ac:dyDescent="0.25">
      <c r="A24" s="31"/>
      <c r="B24" s="186" t="s">
        <v>96</v>
      </c>
      <c r="C24" s="53" t="s">
        <v>97</v>
      </c>
      <c r="D24" s="22" t="s">
        <v>98</v>
      </c>
      <c r="E24" s="23">
        <v>410</v>
      </c>
      <c r="F24" s="24" t="s">
        <v>91</v>
      </c>
      <c r="G24" s="25">
        <f t="shared" si="31"/>
        <v>10000000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>
        <v>10000000</v>
      </c>
      <c r="V24" s="25"/>
      <c r="W24" s="25"/>
      <c r="X24" s="25"/>
      <c r="Y24" s="25"/>
      <c r="Z24" s="25"/>
      <c r="AB24" s="27">
        <f t="shared" si="1"/>
        <v>7.0000000000000007E-2</v>
      </c>
      <c r="AC24" s="25">
        <f t="shared" si="32"/>
        <v>700000</v>
      </c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>
        <f>+'[6]JULIO 2016'!$Y$889</f>
        <v>700000</v>
      </c>
      <c r="AS24" s="25"/>
      <c r="AT24" s="25"/>
      <c r="AU24" s="25"/>
      <c r="AV24" s="25"/>
      <c r="AW24" s="25"/>
      <c r="AX24" s="27">
        <f t="shared" si="3"/>
        <v>0.92999999999999994</v>
      </c>
      <c r="AY24" s="25">
        <f t="shared" si="33"/>
        <v>9300000</v>
      </c>
      <c r="AZ24" s="25">
        <f t="shared" si="34"/>
        <v>0</v>
      </c>
      <c r="BA24" s="25">
        <f t="shared" si="34"/>
        <v>0</v>
      </c>
      <c r="BB24" s="25">
        <f t="shared" si="34"/>
        <v>0</v>
      </c>
      <c r="BC24" s="25">
        <f t="shared" si="35"/>
        <v>0</v>
      </c>
      <c r="BD24" s="25">
        <f t="shared" si="35"/>
        <v>0</v>
      </c>
      <c r="BE24" s="25">
        <f t="shared" si="35"/>
        <v>0</v>
      </c>
      <c r="BF24" s="25">
        <f t="shared" si="35"/>
        <v>0</v>
      </c>
      <c r="BG24" s="25">
        <f t="shared" si="35"/>
        <v>0</v>
      </c>
      <c r="BH24" s="25">
        <f t="shared" si="35"/>
        <v>0</v>
      </c>
      <c r="BI24" s="25">
        <f t="shared" si="35"/>
        <v>0</v>
      </c>
      <c r="BJ24" s="25">
        <f t="shared" si="35"/>
        <v>0</v>
      </c>
      <c r="BK24" s="25">
        <f t="shared" si="35"/>
        <v>0</v>
      </c>
      <c r="BL24" s="25">
        <f t="shared" si="35"/>
        <v>0</v>
      </c>
      <c r="BM24" s="25">
        <f t="shared" si="35"/>
        <v>9300000</v>
      </c>
      <c r="BN24" s="25">
        <f t="shared" si="35"/>
        <v>0</v>
      </c>
      <c r="BO24" s="25"/>
      <c r="BP24" s="25"/>
      <c r="BQ24" s="25"/>
      <c r="BR24" s="25">
        <f t="shared" si="36"/>
        <v>0</v>
      </c>
      <c r="BS24" s="27">
        <f t="shared" si="10"/>
        <v>7.0000000000000007E-2</v>
      </c>
      <c r="BT24" s="25">
        <f t="shared" si="37"/>
        <v>700000</v>
      </c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>
        <f>+'[6]JULIO 2016'!$H$887</f>
        <v>700000</v>
      </c>
      <c r="CJ24" s="25"/>
      <c r="CK24" s="25"/>
      <c r="CL24" s="25"/>
      <c r="CM24" s="25"/>
      <c r="CN24" s="25"/>
      <c r="CO24" s="27">
        <f t="shared" si="12"/>
        <v>0.92999999999999994</v>
      </c>
      <c r="CP24" s="25">
        <f t="shared" si="38"/>
        <v>9300000</v>
      </c>
      <c r="CQ24" s="25">
        <f t="shared" si="39"/>
        <v>0</v>
      </c>
      <c r="CR24" s="25">
        <f t="shared" si="39"/>
        <v>0</v>
      </c>
      <c r="CS24" s="25">
        <f t="shared" si="39"/>
        <v>0</v>
      </c>
      <c r="CT24" s="25">
        <f t="shared" si="39"/>
        <v>0</v>
      </c>
      <c r="CU24" s="25">
        <f t="shared" si="39"/>
        <v>0</v>
      </c>
      <c r="CV24" s="25">
        <f t="shared" si="39"/>
        <v>0</v>
      </c>
      <c r="CW24" s="25">
        <f t="shared" si="40"/>
        <v>0</v>
      </c>
      <c r="CX24" s="25">
        <f t="shared" si="40"/>
        <v>0</v>
      </c>
      <c r="CY24" s="25">
        <f t="shared" si="40"/>
        <v>0</v>
      </c>
      <c r="CZ24" s="25">
        <f t="shared" si="41"/>
        <v>0</v>
      </c>
      <c r="DA24" s="25">
        <f t="shared" si="41"/>
        <v>0</v>
      </c>
      <c r="DB24" s="25">
        <f t="shared" si="41"/>
        <v>0</v>
      </c>
      <c r="DC24" s="25">
        <f t="shared" si="42"/>
        <v>0</v>
      </c>
      <c r="DD24" s="25">
        <f t="shared" si="42"/>
        <v>9300000</v>
      </c>
      <c r="DE24" s="25">
        <f t="shared" si="42"/>
        <v>0</v>
      </c>
      <c r="DF24" s="25"/>
      <c r="DG24" s="25">
        <f t="shared" si="43"/>
        <v>0</v>
      </c>
      <c r="DH24" s="25">
        <f t="shared" si="43"/>
        <v>0</v>
      </c>
      <c r="DI24" s="25">
        <f t="shared" si="43"/>
        <v>0</v>
      </c>
      <c r="DK24" s="78"/>
      <c r="DL24" s="78"/>
      <c r="DM24" s="276">
        <f t="shared" si="44"/>
        <v>10000000</v>
      </c>
      <c r="DN24" s="277">
        <f t="shared" si="45"/>
        <v>700000</v>
      </c>
      <c r="DO24" s="78"/>
    </row>
    <row r="25" spans="1:119" ht="33" hidden="1" customHeight="1" x14ac:dyDescent="0.25">
      <c r="A25" s="31"/>
      <c r="B25" s="187"/>
      <c r="C25" s="21" t="s">
        <v>99</v>
      </c>
      <c r="D25" s="22" t="s">
        <v>100</v>
      </c>
      <c r="E25" s="23">
        <v>410</v>
      </c>
      <c r="F25" s="24" t="s">
        <v>101</v>
      </c>
      <c r="G25" s="25">
        <f>SUM(H25:Z25)</f>
        <v>10000000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>
        <v>10000000</v>
      </c>
      <c r="V25" s="25"/>
      <c r="W25" s="25"/>
      <c r="X25" s="25"/>
      <c r="Y25" s="25"/>
      <c r="Z25" s="25"/>
      <c r="AB25" s="27">
        <f t="shared" si="1"/>
        <v>1</v>
      </c>
      <c r="AC25" s="25">
        <f t="shared" si="32"/>
        <v>10000000</v>
      </c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>
        <f>+'[3]ABRIL 2016'!$Y$572</f>
        <v>10000000</v>
      </c>
      <c r="AS25" s="25"/>
      <c r="AT25" s="25"/>
      <c r="AU25" s="25"/>
      <c r="AV25" s="25"/>
      <c r="AW25" s="25"/>
      <c r="AX25" s="27">
        <f t="shared" si="3"/>
        <v>0</v>
      </c>
      <c r="AY25" s="25">
        <f t="shared" si="33"/>
        <v>0</v>
      </c>
      <c r="AZ25" s="25">
        <f t="shared" si="34"/>
        <v>0</v>
      </c>
      <c r="BA25" s="25">
        <f t="shared" si="34"/>
        <v>0</v>
      </c>
      <c r="BB25" s="25">
        <f t="shared" si="34"/>
        <v>0</v>
      </c>
      <c r="BC25" s="25">
        <f t="shared" si="35"/>
        <v>0</v>
      </c>
      <c r="BD25" s="25">
        <f t="shared" si="35"/>
        <v>0</v>
      </c>
      <c r="BE25" s="25">
        <f t="shared" si="35"/>
        <v>0</v>
      </c>
      <c r="BF25" s="25">
        <f t="shared" si="35"/>
        <v>0</v>
      </c>
      <c r="BG25" s="25">
        <f t="shared" si="35"/>
        <v>0</v>
      </c>
      <c r="BH25" s="25">
        <f t="shared" si="35"/>
        <v>0</v>
      </c>
      <c r="BI25" s="25">
        <f t="shared" si="35"/>
        <v>0</v>
      </c>
      <c r="BJ25" s="25">
        <f t="shared" si="35"/>
        <v>0</v>
      </c>
      <c r="BK25" s="25">
        <f t="shared" si="35"/>
        <v>0</v>
      </c>
      <c r="BL25" s="25">
        <f t="shared" si="35"/>
        <v>0</v>
      </c>
      <c r="BM25" s="25">
        <f t="shared" si="35"/>
        <v>0</v>
      </c>
      <c r="BN25" s="25">
        <f t="shared" si="35"/>
        <v>0</v>
      </c>
      <c r="BO25" s="25"/>
      <c r="BP25" s="25"/>
      <c r="BQ25" s="25"/>
      <c r="BR25" s="25">
        <f t="shared" si="36"/>
        <v>0</v>
      </c>
      <c r="BS25" s="27">
        <f t="shared" si="10"/>
        <v>1</v>
      </c>
      <c r="BT25" s="25">
        <f t="shared" si="37"/>
        <v>10000000</v>
      </c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>
        <f>+'[3]ABRIL 2016'!$Y$572</f>
        <v>10000000</v>
      </c>
      <c r="CJ25" s="25"/>
      <c r="CK25" s="25"/>
      <c r="CL25" s="25"/>
      <c r="CM25" s="25"/>
      <c r="CN25" s="25"/>
      <c r="CO25" s="27">
        <f t="shared" si="12"/>
        <v>0</v>
      </c>
      <c r="CP25" s="25">
        <f t="shared" si="38"/>
        <v>0</v>
      </c>
      <c r="CQ25" s="25">
        <f t="shared" si="39"/>
        <v>0</v>
      </c>
      <c r="CR25" s="25">
        <f t="shared" si="39"/>
        <v>0</v>
      </c>
      <c r="CS25" s="25">
        <f t="shared" si="39"/>
        <v>0</v>
      </c>
      <c r="CT25" s="25">
        <f t="shared" si="39"/>
        <v>0</v>
      </c>
      <c r="CU25" s="25">
        <f t="shared" si="39"/>
        <v>0</v>
      </c>
      <c r="CV25" s="25">
        <f t="shared" si="39"/>
        <v>0</v>
      </c>
      <c r="CW25" s="25">
        <f t="shared" si="40"/>
        <v>0</v>
      </c>
      <c r="CX25" s="25">
        <f t="shared" si="40"/>
        <v>0</v>
      </c>
      <c r="CY25" s="25">
        <f t="shared" si="40"/>
        <v>0</v>
      </c>
      <c r="CZ25" s="25">
        <f t="shared" si="41"/>
        <v>0</v>
      </c>
      <c r="DA25" s="25">
        <f t="shared" si="41"/>
        <v>0</v>
      </c>
      <c r="DB25" s="25">
        <f t="shared" si="41"/>
        <v>0</v>
      </c>
      <c r="DC25" s="25">
        <f t="shared" si="42"/>
        <v>0</v>
      </c>
      <c r="DD25" s="25">
        <f t="shared" si="42"/>
        <v>0</v>
      </c>
      <c r="DE25" s="25">
        <f t="shared" si="42"/>
        <v>0</v>
      </c>
      <c r="DF25" s="25"/>
      <c r="DG25" s="25">
        <f t="shared" si="43"/>
        <v>0</v>
      </c>
      <c r="DH25" s="25">
        <f t="shared" si="43"/>
        <v>0</v>
      </c>
      <c r="DI25" s="25">
        <f t="shared" si="43"/>
        <v>0</v>
      </c>
      <c r="DK25" s="78"/>
      <c r="DL25" s="78"/>
      <c r="DM25" s="276">
        <f t="shared" si="44"/>
        <v>10000000</v>
      </c>
      <c r="DN25" s="277">
        <f t="shared" si="45"/>
        <v>10000000</v>
      </c>
      <c r="DO25" s="78"/>
    </row>
    <row r="26" spans="1:119" ht="36.75" hidden="1" customHeight="1" x14ac:dyDescent="0.25">
      <c r="A26" s="31"/>
      <c r="B26" s="187"/>
      <c r="C26" s="21" t="s">
        <v>102</v>
      </c>
      <c r="D26" s="22" t="s">
        <v>103</v>
      </c>
      <c r="E26" s="23">
        <v>410</v>
      </c>
      <c r="F26" s="24" t="s">
        <v>101</v>
      </c>
      <c r="G26" s="25">
        <f t="shared" si="31"/>
        <v>0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>
        <f>20000000-20000000</f>
        <v>0</v>
      </c>
      <c r="V26" s="25"/>
      <c r="W26" s="25"/>
      <c r="X26" s="25"/>
      <c r="Y26" s="25"/>
      <c r="Z26" s="25"/>
      <c r="AB26" s="27" t="e">
        <f t="shared" si="1"/>
        <v>#DIV/0!</v>
      </c>
      <c r="AC26" s="25">
        <f t="shared" si="32"/>
        <v>0</v>
      </c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7" t="e">
        <f t="shared" si="3"/>
        <v>#DIV/0!</v>
      </c>
      <c r="AY26" s="25">
        <f t="shared" si="33"/>
        <v>0</v>
      </c>
      <c r="AZ26" s="25">
        <f t="shared" si="34"/>
        <v>0</v>
      </c>
      <c r="BA26" s="25">
        <f t="shared" si="34"/>
        <v>0</v>
      </c>
      <c r="BB26" s="25">
        <f t="shared" si="34"/>
        <v>0</v>
      </c>
      <c r="BC26" s="25">
        <f t="shared" si="35"/>
        <v>0</v>
      </c>
      <c r="BD26" s="25">
        <f t="shared" si="35"/>
        <v>0</v>
      </c>
      <c r="BE26" s="25">
        <f t="shared" si="35"/>
        <v>0</v>
      </c>
      <c r="BF26" s="25">
        <f t="shared" si="35"/>
        <v>0</v>
      </c>
      <c r="BG26" s="25">
        <f t="shared" si="35"/>
        <v>0</v>
      </c>
      <c r="BH26" s="25">
        <f t="shared" si="35"/>
        <v>0</v>
      </c>
      <c r="BI26" s="25">
        <f t="shared" si="35"/>
        <v>0</v>
      </c>
      <c r="BJ26" s="25">
        <f t="shared" si="35"/>
        <v>0</v>
      </c>
      <c r="BK26" s="25">
        <f t="shared" si="35"/>
        <v>0</v>
      </c>
      <c r="BL26" s="25">
        <f t="shared" si="35"/>
        <v>0</v>
      </c>
      <c r="BM26" s="25">
        <f t="shared" si="35"/>
        <v>0</v>
      </c>
      <c r="BN26" s="25">
        <f t="shared" si="35"/>
        <v>0</v>
      </c>
      <c r="BO26" s="25"/>
      <c r="BP26" s="25"/>
      <c r="BQ26" s="25"/>
      <c r="BR26" s="25">
        <f t="shared" si="36"/>
        <v>0</v>
      </c>
      <c r="BS26" s="27" t="e">
        <f t="shared" si="10"/>
        <v>#DIV/0!</v>
      </c>
      <c r="BT26" s="25">
        <f t="shared" si="37"/>
        <v>0</v>
      </c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7" t="e">
        <f t="shared" si="12"/>
        <v>#DIV/0!</v>
      </c>
      <c r="CP26" s="25">
        <f t="shared" si="38"/>
        <v>0</v>
      </c>
      <c r="CQ26" s="25">
        <f t="shared" si="39"/>
        <v>0</v>
      </c>
      <c r="CR26" s="25">
        <f t="shared" si="39"/>
        <v>0</v>
      </c>
      <c r="CS26" s="25">
        <f t="shared" si="39"/>
        <v>0</v>
      </c>
      <c r="CT26" s="25">
        <f t="shared" si="39"/>
        <v>0</v>
      </c>
      <c r="CU26" s="25">
        <f t="shared" si="39"/>
        <v>0</v>
      </c>
      <c r="CV26" s="25">
        <f t="shared" si="39"/>
        <v>0</v>
      </c>
      <c r="CW26" s="25">
        <f t="shared" si="40"/>
        <v>0</v>
      </c>
      <c r="CX26" s="25">
        <f t="shared" si="40"/>
        <v>0</v>
      </c>
      <c r="CY26" s="25">
        <f t="shared" si="40"/>
        <v>0</v>
      </c>
      <c r="CZ26" s="25">
        <f t="shared" si="41"/>
        <v>0</v>
      </c>
      <c r="DA26" s="25">
        <f t="shared" si="41"/>
        <v>0</v>
      </c>
      <c r="DB26" s="25">
        <f t="shared" si="41"/>
        <v>0</v>
      </c>
      <c r="DC26" s="25">
        <f t="shared" si="42"/>
        <v>0</v>
      </c>
      <c r="DD26" s="25">
        <f t="shared" si="42"/>
        <v>0</v>
      </c>
      <c r="DE26" s="25">
        <f t="shared" si="42"/>
        <v>0</v>
      </c>
      <c r="DF26" s="25"/>
      <c r="DG26" s="25">
        <f t="shared" si="43"/>
        <v>0</v>
      </c>
      <c r="DH26" s="25">
        <f t="shared" si="43"/>
        <v>0</v>
      </c>
      <c r="DI26" s="25">
        <f t="shared" si="43"/>
        <v>0</v>
      </c>
      <c r="DK26" s="78"/>
      <c r="DL26" s="78"/>
      <c r="DM26" s="276">
        <f t="shared" si="44"/>
        <v>0</v>
      </c>
      <c r="DN26" s="277">
        <f t="shared" si="45"/>
        <v>0</v>
      </c>
      <c r="DO26" s="78"/>
    </row>
    <row r="27" spans="1:119" ht="36.75" hidden="1" customHeight="1" x14ac:dyDescent="0.25">
      <c r="A27" s="31"/>
      <c r="B27" s="187"/>
      <c r="C27" s="21" t="s">
        <v>104</v>
      </c>
      <c r="D27" s="22" t="s">
        <v>105</v>
      </c>
      <c r="E27" s="23">
        <v>410</v>
      </c>
      <c r="F27" s="24" t="s">
        <v>101</v>
      </c>
      <c r="G27" s="25">
        <f t="shared" si="31"/>
        <v>27000000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>
        <f>50000000-23000000</f>
        <v>27000000</v>
      </c>
      <c r="V27" s="25"/>
      <c r="W27" s="25"/>
      <c r="X27" s="25"/>
      <c r="Y27" s="25"/>
      <c r="Z27" s="25"/>
      <c r="AB27" s="27">
        <f t="shared" si="1"/>
        <v>1</v>
      </c>
      <c r="AC27" s="25">
        <f t="shared" si="32"/>
        <v>27000000</v>
      </c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>
        <f>+'[3]ABRIL 2016'!$Y$585</f>
        <v>27000000</v>
      </c>
      <c r="AS27" s="25"/>
      <c r="AT27" s="25"/>
      <c r="AU27" s="25"/>
      <c r="AV27" s="25"/>
      <c r="AW27" s="25"/>
      <c r="AX27" s="27">
        <f t="shared" si="3"/>
        <v>0</v>
      </c>
      <c r="AY27" s="25">
        <f t="shared" si="33"/>
        <v>0</v>
      </c>
      <c r="AZ27" s="25">
        <f t="shared" si="34"/>
        <v>0</v>
      </c>
      <c r="BA27" s="25">
        <f t="shared" si="34"/>
        <v>0</v>
      </c>
      <c r="BB27" s="25">
        <f t="shared" si="34"/>
        <v>0</v>
      </c>
      <c r="BC27" s="25">
        <f t="shared" si="35"/>
        <v>0</v>
      </c>
      <c r="BD27" s="25">
        <f t="shared" si="35"/>
        <v>0</v>
      </c>
      <c r="BE27" s="25">
        <f t="shared" si="35"/>
        <v>0</v>
      </c>
      <c r="BF27" s="25">
        <f t="shared" si="35"/>
        <v>0</v>
      </c>
      <c r="BG27" s="25">
        <f t="shared" si="35"/>
        <v>0</v>
      </c>
      <c r="BH27" s="25">
        <f t="shared" si="35"/>
        <v>0</v>
      </c>
      <c r="BI27" s="25">
        <f t="shared" si="35"/>
        <v>0</v>
      </c>
      <c r="BJ27" s="25">
        <f t="shared" si="35"/>
        <v>0</v>
      </c>
      <c r="BK27" s="25">
        <f t="shared" si="35"/>
        <v>0</v>
      </c>
      <c r="BL27" s="25">
        <f t="shared" si="35"/>
        <v>0</v>
      </c>
      <c r="BM27" s="25">
        <f t="shared" si="35"/>
        <v>0</v>
      </c>
      <c r="BN27" s="25">
        <f t="shared" si="35"/>
        <v>0</v>
      </c>
      <c r="BO27" s="25"/>
      <c r="BP27" s="25"/>
      <c r="BQ27" s="25"/>
      <c r="BR27" s="25">
        <f t="shared" si="36"/>
        <v>0</v>
      </c>
      <c r="BS27" s="27">
        <f t="shared" si="10"/>
        <v>0.65259259259259261</v>
      </c>
      <c r="BT27" s="25">
        <f t="shared" si="37"/>
        <v>17620000</v>
      </c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>
        <f>+'[1]AGOSTO 2016'!$H$1055</f>
        <v>17620000</v>
      </c>
      <c r="CJ27" s="25"/>
      <c r="CK27" s="25"/>
      <c r="CL27" s="25"/>
      <c r="CM27" s="25"/>
      <c r="CN27" s="25"/>
      <c r="CO27" s="27">
        <f t="shared" si="12"/>
        <v>0.34740740740740739</v>
      </c>
      <c r="CP27" s="25">
        <f t="shared" si="38"/>
        <v>9380000</v>
      </c>
      <c r="CQ27" s="25">
        <f t="shared" si="39"/>
        <v>0</v>
      </c>
      <c r="CR27" s="25">
        <f t="shared" si="39"/>
        <v>0</v>
      </c>
      <c r="CS27" s="25">
        <f t="shared" si="39"/>
        <v>0</v>
      </c>
      <c r="CT27" s="25">
        <f t="shared" si="39"/>
        <v>0</v>
      </c>
      <c r="CU27" s="25">
        <f t="shared" si="39"/>
        <v>0</v>
      </c>
      <c r="CV27" s="25">
        <f t="shared" si="39"/>
        <v>0</v>
      </c>
      <c r="CW27" s="25">
        <f t="shared" si="40"/>
        <v>0</v>
      </c>
      <c r="CX27" s="25">
        <f t="shared" si="40"/>
        <v>0</v>
      </c>
      <c r="CY27" s="25">
        <f t="shared" si="40"/>
        <v>0</v>
      </c>
      <c r="CZ27" s="25">
        <f t="shared" si="41"/>
        <v>0</v>
      </c>
      <c r="DA27" s="25">
        <f t="shared" si="41"/>
        <v>0</v>
      </c>
      <c r="DB27" s="25">
        <f t="shared" si="41"/>
        <v>0</v>
      </c>
      <c r="DC27" s="25">
        <f t="shared" si="42"/>
        <v>0</v>
      </c>
      <c r="DD27" s="25">
        <f t="shared" si="42"/>
        <v>9380000</v>
      </c>
      <c r="DE27" s="25">
        <f t="shared" si="42"/>
        <v>0</v>
      </c>
      <c r="DF27" s="25"/>
      <c r="DG27" s="25">
        <f t="shared" si="43"/>
        <v>0</v>
      </c>
      <c r="DH27" s="25">
        <f t="shared" si="43"/>
        <v>0</v>
      </c>
      <c r="DI27" s="25">
        <f t="shared" si="43"/>
        <v>0</v>
      </c>
      <c r="DK27" s="78"/>
      <c r="DL27" s="78"/>
      <c r="DM27" s="276">
        <f t="shared" si="44"/>
        <v>27000000</v>
      </c>
      <c r="DN27" s="277">
        <f t="shared" si="45"/>
        <v>17620000</v>
      </c>
      <c r="DO27" s="78"/>
    </row>
    <row r="28" spans="1:119" ht="37.5" hidden="1" customHeight="1" x14ac:dyDescent="0.25">
      <c r="A28" s="31"/>
      <c r="B28" s="187"/>
      <c r="C28" s="21" t="s">
        <v>106</v>
      </c>
      <c r="D28" s="22" t="s">
        <v>107</v>
      </c>
      <c r="E28" s="23">
        <v>410</v>
      </c>
      <c r="F28" s="24" t="s">
        <v>108</v>
      </c>
      <c r="G28" s="25">
        <f t="shared" si="31"/>
        <v>105000000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>
        <v>100000000</v>
      </c>
      <c r="V28" s="25"/>
      <c r="W28" s="25"/>
      <c r="X28" s="25"/>
      <c r="Y28" s="25"/>
      <c r="Z28" s="25">
        <v>5000000</v>
      </c>
      <c r="AB28" s="27">
        <f t="shared" si="1"/>
        <v>0.93856134285714288</v>
      </c>
      <c r="AC28" s="25">
        <f t="shared" si="32"/>
        <v>98548941</v>
      </c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>
        <f>+'[1]AGOSTO 2016'!$Y$1068</f>
        <v>97398441</v>
      </c>
      <c r="AS28" s="25"/>
      <c r="AT28" s="25"/>
      <c r="AU28" s="25"/>
      <c r="AV28" s="25"/>
      <c r="AW28" s="25">
        <v>1150500</v>
      </c>
      <c r="AX28" s="27">
        <f t="shared" si="3"/>
        <v>6.1438657142857123E-2</v>
      </c>
      <c r="AY28" s="25">
        <f t="shared" si="33"/>
        <v>6451059</v>
      </c>
      <c r="AZ28" s="25">
        <f t="shared" si="34"/>
        <v>0</v>
      </c>
      <c r="BA28" s="25">
        <f t="shared" si="34"/>
        <v>0</v>
      </c>
      <c r="BB28" s="25">
        <f t="shared" si="34"/>
        <v>0</v>
      </c>
      <c r="BC28" s="25">
        <f t="shared" si="35"/>
        <v>0</v>
      </c>
      <c r="BD28" s="25">
        <f t="shared" si="35"/>
        <v>0</v>
      </c>
      <c r="BE28" s="25">
        <f t="shared" si="35"/>
        <v>0</v>
      </c>
      <c r="BF28" s="25">
        <f t="shared" si="35"/>
        <v>0</v>
      </c>
      <c r="BG28" s="25">
        <f t="shared" si="35"/>
        <v>0</v>
      </c>
      <c r="BH28" s="25">
        <f t="shared" si="35"/>
        <v>0</v>
      </c>
      <c r="BI28" s="25">
        <f t="shared" si="35"/>
        <v>0</v>
      </c>
      <c r="BJ28" s="25">
        <f t="shared" si="35"/>
        <v>0</v>
      </c>
      <c r="BK28" s="25">
        <f t="shared" si="35"/>
        <v>0</v>
      </c>
      <c r="BL28" s="25">
        <f t="shared" si="35"/>
        <v>0</v>
      </c>
      <c r="BM28" s="25">
        <f t="shared" si="35"/>
        <v>2601559</v>
      </c>
      <c r="BN28" s="25">
        <f t="shared" si="35"/>
        <v>0</v>
      </c>
      <c r="BO28" s="25"/>
      <c r="BP28" s="25"/>
      <c r="BQ28" s="25"/>
      <c r="BR28" s="25">
        <f t="shared" si="36"/>
        <v>3849500</v>
      </c>
      <c r="BS28" s="27">
        <f t="shared" si="10"/>
        <v>0.93856134285714288</v>
      </c>
      <c r="BT28" s="25">
        <f t="shared" si="37"/>
        <v>98548941</v>
      </c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>
        <f>+'[1]AGOSTO 2016'!$Y$1068</f>
        <v>97398441</v>
      </c>
      <c r="CJ28" s="25"/>
      <c r="CK28" s="25"/>
      <c r="CL28" s="25"/>
      <c r="CM28" s="25"/>
      <c r="CN28" s="25">
        <v>1150500</v>
      </c>
      <c r="CO28" s="27">
        <f t="shared" si="12"/>
        <v>6.1438657142857123E-2</v>
      </c>
      <c r="CP28" s="25">
        <f t="shared" si="38"/>
        <v>6451059</v>
      </c>
      <c r="CQ28" s="25">
        <f t="shared" si="39"/>
        <v>0</v>
      </c>
      <c r="CR28" s="25">
        <f t="shared" si="39"/>
        <v>0</v>
      </c>
      <c r="CS28" s="25">
        <f t="shared" si="39"/>
        <v>0</v>
      </c>
      <c r="CT28" s="25">
        <f t="shared" si="39"/>
        <v>0</v>
      </c>
      <c r="CU28" s="25">
        <f t="shared" si="39"/>
        <v>0</v>
      </c>
      <c r="CV28" s="25">
        <f t="shared" si="39"/>
        <v>0</v>
      </c>
      <c r="CW28" s="25">
        <f t="shared" si="40"/>
        <v>0</v>
      </c>
      <c r="CX28" s="25">
        <f t="shared" si="40"/>
        <v>0</v>
      </c>
      <c r="CY28" s="25">
        <f t="shared" si="40"/>
        <v>0</v>
      </c>
      <c r="CZ28" s="25">
        <f t="shared" si="41"/>
        <v>0</v>
      </c>
      <c r="DA28" s="25">
        <f t="shared" si="41"/>
        <v>0</v>
      </c>
      <c r="DB28" s="25">
        <f t="shared" si="41"/>
        <v>0</v>
      </c>
      <c r="DC28" s="25">
        <f t="shared" si="42"/>
        <v>0</v>
      </c>
      <c r="DD28" s="25">
        <f t="shared" si="42"/>
        <v>2601559</v>
      </c>
      <c r="DE28" s="25">
        <f t="shared" si="42"/>
        <v>0</v>
      </c>
      <c r="DF28" s="25"/>
      <c r="DG28" s="25">
        <f t="shared" si="43"/>
        <v>0</v>
      </c>
      <c r="DH28" s="25">
        <f t="shared" si="43"/>
        <v>0</v>
      </c>
      <c r="DI28" s="25">
        <f t="shared" si="43"/>
        <v>3849500</v>
      </c>
      <c r="DK28" s="78"/>
      <c r="DL28" s="78"/>
      <c r="DM28" s="276">
        <f t="shared" si="44"/>
        <v>105000000</v>
      </c>
      <c r="DN28" s="277">
        <f t="shared" si="45"/>
        <v>98548941</v>
      </c>
      <c r="DO28" s="78"/>
    </row>
    <row r="29" spans="1:119" ht="33.75" hidden="1" customHeight="1" x14ac:dyDescent="0.25">
      <c r="A29" s="31"/>
      <c r="B29" s="187"/>
      <c r="C29" s="21" t="s">
        <v>109</v>
      </c>
      <c r="D29" s="22" t="s">
        <v>110</v>
      </c>
      <c r="E29" s="23">
        <v>410</v>
      </c>
      <c r="F29" s="24" t="s">
        <v>101</v>
      </c>
      <c r="G29" s="25">
        <f t="shared" si="31"/>
        <v>100000000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>
        <v>100000000</v>
      </c>
      <c r="V29" s="25"/>
      <c r="W29" s="25"/>
      <c r="X29" s="25"/>
      <c r="Y29" s="25"/>
      <c r="Z29" s="25"/>
      <c r="AB29" s="27">
        <f t="shared" si="1"/>
        <v>0.78948779000000002</v>
      </c>
      <c r="AC29" s="25">
        <f t="shared" si="32"/>
        <v>78948779</v>
      </c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>
        <f>+'[6]JULIO 2016'!$Y$960</f>
        <v>78948779</v>
      </c>
      <c r="AS29" s="25"/>
      <c r="AT29" s="25"/>
      <c r="AU29" s="25"/>
      <c r="AV29" s="25"/>
      <c r="AW29" s="25"/>
      <c r="AX29" s="27">
        <f t="shared" si="3"/>
        <v>0.21051220999999998</v>
      </c>
      <c r="AY29" s="25">
        <f t="shared" si="33"/>
        <v>21051221</v>
      </c>
      <c r="AZ29" s="25">
        <f t="shared" si="34"/>
        <v>0</v>
      </c>
      <c r="BA29" s="25">
        <f t="shared" si="34"/>
        <v>0</v>
      </c>
      <c r="BB29" s="25">
        <f t="shared" si="34"/>
        <v>0</v>
      </c>
      <c r="BC29" s="25">
        <f t="shared" si="35"/>
        <v>0</v>
      </c>
      <c r="BD29" s="25">
        <f t="shared" si="35"/>
        <v>0</v>
      </c>
      <c r="BE29" s="25">
        <f t="shared" si="35"/>
        <v>0</v>
      </c>
      <c r="BF29" s="25">
        <f t="shared" si="35"/>
        <v>0</v>
      </c>
      <c r="BG29" s="25">
        <f t="shared" si="35"/>
        <v>0</v>
      </c>
      <c r="BH29" s="25">
        <f t="shared" si="35"/>
        <v>0</v>
      </c>
      <c r="BI29" s="25">
        <f t="shared" si="35"/>
        <v>0</v>
      </c>
      <c r="BJ29" s="25">
        <f t="shared" si="35"/>
        <v>0</v>
      </c>
      <c r="BK29" s="25">
        <f t="shared" si="35"/>
        <v>0</v>
      </c>
      <c r="BL29" s="25">
        <f t="shared" si="35"/>
        <v>0</v>
      </c>
      <c r="BM29" s="25">
        <f t="shared" si="35"/>
        <v>21051221</v>
      </c>
      <c r="BN29" s="25">
        <f t="shared" si="35"/>
        <v>0</v>
      </c>
      <c r="BO29" s="25"/>
      <c r="BP29" s="25"/>
      <c r="BQ29" s="25"/>
      <c r="BR29" s="25">
        <f t="shared" si="36"/>
        <v>0</v>
      </c>
      <c r="BS29" s="27">
        <f t="shared" si="10"/>
        <v>0.78948779000000002</v>
      </c>
      <c r="BT29" s="25">
        <f t="shared" si="37"/>
        <v>78948779</v>
      </c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>
        <f>+'[6]JULIO 2016'!$H$958</f>
        <v>78948779</v>
      </c>
      <c r="CJ29" s="25"/>
      <c r="CK29" s="25"/>
      <c r="CL29" s="25"/>
      <c r="CM29" s="25"/>
      <c r="CN29" s="25"/>
      <c r="CO29" s="27">
        <f t="shared" si="12"/>
        <v>0.21051220999999998</v>
      </c>
      <c r="CP29" s="25">
        <f t="shared" si="38"/>
        <v>21051221</v>
      </c>
      <c r="CQ29" s="25">
        <f t="shared" si="39"/>
        <v>0</v>
      </c>
      <c r="CR29" s="25">
        <f t="shared" si="39"/>
        <v>0</v>
      </c>
      <c r="CS29" s="25">
        <f t="shared" si="39"/>
        <v>0</v>
      </c>
      <c r="CT29" s="25">
        <f t="shared" si="39"/>
        <v>0</v>
      </c>
      <c r="CU29" s="25">
        <f t="shared" si="39"/>
        <v>0</v>
      </c>
      <c r="CV29" s="25">
        <f t="shared" si="39"/>
        <v>0</v>
      </c>
      <c r="CW29" s="25">
        <f t="shared" si="40"/>
        <v>0</v>
      </c>
      <c r="CX29" s="25">
        <f t="shared" si="40"/>
        <v>0</v>
      </c>
      <c r="CY29" s="25">
        <f t="shared" si="40"/>
        <v>0</v>
      </c>
      <c r="CZ29" s="25">
        <f t="shared" si="41"/>
        <v>0</v>
      </c>
      <c r="DA29" s="25">
        <f t="shared" si="41"/>
        <v>0</v>
      </c>
      <c r="DB29" s="25">
        <f t="shared" si="41"/>
        <v>0</v>
      </c>
      <c r="DC29" s="25">
        <f t="shared" si="42"/>
        <v>0</v>
      </c>
      <c r="DD29" s="25">
        <f t="shared" si="42"/>
        <v>21051221</v>
      </c>
      <c r="DE29" s="25">
        <f t="shared" si="42"/>
        <v>0</v>
      </c>
      <c r="DF29" s="25"/>
      <c r="DG29" s="25">
        <f t="shared" si="43"/>
        <v>0</v>
      </c>
      <c r="DH29" s="25">
        <f t="shared" si="43"/>
        <v>0</v>
      </c>
      <c r="DI29" s="25">
        <f t="shared" si="43"/>
        <v>0</v>
      </c>
      <c r="DK29" s="78"/>
      <c r="DL29" s="78"/>
      <c r="DM29" s="276">
        <f t="shared" si="44"/>
        <v>100000000</v>
      </c>
      <c r="DN29" s="277">
        <f t="shared" si="45"/>
        <v>78948779</v>
      </c>
      <c r="DO29" s="78"/>
    </row>
    <row r="30" spans="1:119" ht="22.5" hidden="1" customHeight="1" x14ac:dyDescent="0.25">
      <c r="A30" s="31"/>
      <c r="B30" s="187"/>
      <c r="C30" s="21" t="s">
        <v>111</v>
      </c>
      <c r="D30" s="22" t="s">
        <v>112</v>
      </c>
      <c r="E30" s="23">
        <v>410</v>
      </c>
      <c r="F30" s="24" t="s">
        <v>76</v>
      </c>
      <c r="G30" s="25">
        <f t="shared" si="31"/>
        <v>12000000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>
        <f>6000000+2000000+4000000</f>
        <v>12000000</v>
      </c>
      <c r="AB30" s="27">
        <f t="shared" si="1"/>
        <v>0.99999983333333331</v>
      </c>
      <c r="AC30" s="25">
        <f t="shared" si="32"/>
        <v>11999998</v>
      </c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>
        <f>+'[1]AGOSTO 2016'!$AG$1142</f>
        <v>11999998</v>
      </c>
      <c r="AX30" s="27">
        <f t="shared" si="3"/>
        <v>1.6666666668996299E-7</v>
      </c>
      <c r="AY30" s="25">
        <f t="shared" si="33"/>
        <v>2</v>
      </c>
      <c r="AZ30" s="25">
        <f t="shared" si="34"/>
        <v>0</v>
      </c>
      <c r="BA30" s="25">
        <f t="shared" si="34"/>
        <v>0</v>
      </c>
      <c r="BB30" s="25">
        <f t="shared" si="34"/>
        <v>0</v>
      </c>
      <c r="BC30" s="25">
        <f t="shared" si="35"/>
        <v>0</v>
      </c>
      <c r="BD30" s="25">
        <f t="shared" si="35"/>
        <v>0</v>
      </c>
      <c r="BE30" s="25">
        <f t="shared" si="35"/>
        <v>0</v>
      </c>
      <c r="BF30" s="25">
        <f t="shared" si="35"/>
        <v>0</v>
      </c>
      <c r="BG30" s="25">
        <f t="shared" si="35"/>
        <v>0</v>
      </c>
      <c r="BH30" s="25">
        <f t="shared" si="35"/>
        <v>0</v>
      </c>
      <c r="BI30" s="25">
        <f t="shared" si="35"/>
        <v>0</v>
      </c>
      <c r="BJ30" s="25">
        <f t="shared" si="35"/>
        <v>0</v>
      </c>
      <c r="BK30" s="25">
        <f t="shared" si="35"/>
        <v>0</v>
      </c>
      <c r="BL30" s="25"/>
      <c r="BM30" s="25">
        <f t="shared" si="35"/>
        <v>0</v>
      </c>
      <c r="BN30" s="25">
        <f t="shared" si="35"/>
        <v>0</v>
      </c>
      <c r="BO30" s="25"/>
      <c r="BP30" s="25"/>
      <c r="BQ30" s="25"/>
      <c r="BR30" s="25">
        <f t="shared" si="36"/>
        <v>2</v>
      </c>
      <c r="BS30" s="27">
        <f t="shared" si="10"/>
        <v>0.48977333333333334</v>
      </c>
      <c r="BT30" s="25">
        <f t="shared" si="37"/>
        <v>5877280</v>
      </c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>
        <f>+'[6]JULIO 2016'!$H$984</f>
        <v>5877280</v>
      </c>
      <c r="CO30" s="27">
        <f t="shared" si="12"/>
        <v>0.51022666666666661</v>
      </c>
      <c r="CP30" s="25">
        <f t="shared" si="38"/>
        <v>6122720</v>
      </c>
      <c r="CQ30" s="25">
        <f t="shared" si="39"/>
        <v>0</v>
      </c>
      <c r="CR30" s="25">
        <f t="shared" si="39"/>
        <v>0</v>
      </c>
      <c r="CS30" s="25">
        <f t="shared" si="39"/>
        <v>0</v>
      </c>
      <c r="CT30" s="25">
        <f t="shared" si="39"/>
        <v>0</v>
      </c>
      <c r="CU30" s="25">
        <f t="shared" si="39"/>
        <v>0</v>
      </c>
      <c r="CV30" s="25">
        <f t="shared" si="39"/>
        <v>0</v>
      </c>
      <c r="CW30" s="25">
        <f t="shared" si="40"/>
        <v>0</v>
      </c>
      <c r="CX30" s="25">
        <f t="shared" si="40"/>
        <v>0</v>
      </c>
      <c r="CY30" s="25">
        <f t="shared" si="40"/>
        <v>0</v>
      </c>
      <c r="CZ30" s="25">
        <f t="shared" si="41"/>
        <v>0</v>
      </c>
      <c r="DA30" s="25">
        <f t="shared" si="41"/>
        <v>0</v>
      </c>
      <c r="DB30" s="25">
        <f t="shared" si="41"/>
        <v>0</v>
      </c>
      <c r="DC30" s="25">
        <f t="shared" si="41"/>
        <v>0</v>
      </c>
      <c r="DD30" s="25">
        <f t="shared" si="41"/>
        <v>0</v>
      </c>
      <c r="DE30" s="25">
        <f t="shared" si="41"/>
        <v>0</v>
      </c>
      <c r="DF30" s="25"/>
      <c r="DG30" s="25">
        <f t="shared" ref="DG30:DI45" si="46">X30-CL30</f>
        <v>0</v>
      </c>
      <c r="DH30" s="25">
        <f t="shared" si="46"/>
        <v>0</v>
      </c>
      <c r="DI30" s="25">
        <f t="shared" si="46"/>
        <v>6122720</v>
      </c>
      <c r="DK30" s="78"/>
      <c r="DL30" s="78"/>
      <c r="DM30" s="276">
        <f t="shared" si="44"/>
        <v>12000000</v>
      </c>
      <c r="DN30" s="277">
        <f t="shared" si="45"/>
        <v>5877280</v>
      </c>
      <c r="DO30" s="78"/>
    </row>
    <row r="31" spans="1:119" ht="47.25" hidden="1" customHeight="1" x14ac:dyDescent="0.25">
      <c r="A31" s="31"/>
      <c r="B31" s="187"/>
      <c r="C31" s="21" t="s">
        <v>113</v>
      </c>
      <c r="D31" s="22" t="s">
        <v>114</v>
      </c>
      <c r="E31" s="23">
        <v>410</v>
      </c>
      <c r="F31" s="24" t="s">
        <v>115</v>
      </c>
      <c r="G31" s="25">
        <f t="shared" si="31"/>
        <v>10000000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>
        <f>5000000+5000000</f>
        <v>10000000</v>
      </c>
      <c r="AB31" s="27">
        <f t="shared" si="1"/>
        <v>0.16064239999999999</v>
      </c>
      <c r="AC31" s="25">
        <f t="shared" si="32"/>
        <v>1606424</v>
      </c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>
        <f>+'[3]ABRIL 2016'!$G$646</f>
        <v>1606424</v>
      </c>
      <c r="AX31" s="27">
        <f t="shared" si="3"/>
        <v>0.83935760000000004</v>
      </c>
      <c r="AY31" s="25">
        <f t="shared" si="33"/>
        <v>8393576</v>
      </c>
      <c r="AZ31" s="25">
        <f t="shared" si="34"/>
        <v>0</v>
      </c>
      <c r="BA31" s="25">
        <f t="shared" si="34"/>
        <v>0</v>
      </c>
      <c r="BB31" s="25">
        <f t="shared" si="34"/>
        <v>0</v>
      </c>
      <c r="BC31" s="25">
        <f t="shared" si="35"/>
        <v>0</v>
      </c>
      <c r="BD31" s="25">
        <f t="shared" si="35"/>
        <v>0</v>
      </c>
      <c r="BE31" s="25">
        <f t="shared" si="35"/>
        <v>0</v>
      </c>
      <c r="BF31" s="25">
        <f t="shared" si="35"/>
        <v>0</v>
      </c>
      <c r="BG31" s="25">
        <f t="shared" si="35"/>
        <v>0</v>
      </c>
      <c r="BH31" s="25">
        <f t="shared" si="35"/>
        <v>0</v>
      </c>
      <c r="BI31" s="25">
        <f t="shared" si="35"/>
        <v>0</v>
      </c>
      <c r="BJ31" s="25">
        <f t="shared" si="35"/>
        <v>0</v>
      </c>
      <c r="BK31" s="25">
        <f t="shared" si="35"/>
        <v>0</v>
      </c>
      <c r="BL31" s="25"/>
      <c r="BM31" s="25">
        <f t="shared" si="35"/>
        <v>0</v>
      </c>
      <c r="BN31" s="25">
        <f t="shared" si="35"/>
        <v>0</v>
      </c>
      <c r="BO31" s="25"/>
      <c r="BP31" s="25"/>
      <c r="BQ31" s="25"/>
      <c r="BR31" s="25">
        <f t="shared" si="36"/>
        <v>8393576</v>
      </c>
      <c r="BS31" s="27">
        <f t="shared" si="10"/>
        <v>0.16064239999999999</v>
      </c>
      <c r="BT31" s="25">
        <f t="shared" si="37"/>
        <v>1606424</v>
      </c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>
        <f>+'[3]ABRIL 2016'!$H$646</f>
        <v>1606424</v>
      </c>
      <c r="CO31" s="27">
        <f t="shared" si="12"/>
        <v>0.83935760000000004</v>
      </c>
      <c r="CP31" s="25">
        <f t="shared" si="38"/>
        <v>8393576</v>
      </c>
      <c r="CQ31" s="25">
        <f t="shared" si="39"/>
        <v>0</v>
      </c>
      <c r="CR31" s="25">
        <f t="shared" si="39"/>
        <v>0</v>
      </c>
      <c r="CS31" s="25">
        <f t="shared" si="39"/>
        <v>0</v>
      </c>
      <c r="CT31" s="25">
        <f t="shared" si="39"/>
        <v>0</v>
      </c>
      <c r="CU31" s="25">
        <f t="shared" si="39"/>
        <v>0</v>
      </c>
      <c r="CV31" s="25">
        <f t="shared" si="39"/>
        <v>0</v>
      </c>
      <c r="CW31" s="25">
        <f t="shared" si="40"/>
        <v>0</v>
      </c>
      <c r="CX31" s="25">
        <f t="shared" si="40"/>
        <v>0</v>
      </c>
      <c r="CY31" s="25">
        <f t="shared" si="40"/>
        <v>0</v>
      </c>
      <c r="CZ31" s="25">
        <f t="shared" si="41"/>
        <v>0</v>
      </c>
      <c r="DA31" s="25">
        <f t="shared" si="41"/>
        <v>0</v>
      </c>
      <c r="DB31" s="25">
        <f t="shared" si="41"/>
        <v>0</v>
      </c>
      <c r="DC31" s="25">
        <f t="shared" si="41"/>
        <v>0</v>
      </c>
      <c r="DD31" s="25">
        <f t="shared" si="41"/>
        <v>0</v>
      </c>
      <c r="DE31" s="25">
        <f t="shared" si="41"/>
        <v>0</v>
      </c>
      <c r="DF31" s="25"/>
      <c r="DG31" s="25">
        <f t="shared" si="46"/>
        <v>0</v>
      </c>
      <c r="DH31" s="25">
        <f t="shared" si="46"/>
        <v>0</v>
      </c>
      <c r="DI31" s="25">
        <f t="shared" si="46"/>
        <v>8393576</v>
      </c>
      <c r="DK31" s="78"/>
      <c r="DL31" s="78"/>
      <c r="DM31" s="276">
        <f t="shared" si="44"/>
        <v>10000000</v>
      </c>
      <c r="DN31" s="277">
        <f t="shared" si="45"/>
        <v>1606424</v>
      </c>
      <c r="DO31" s="78"/>
    </row>
    <row r="32" spans="1:119" ht="30" hidden="1" x14ac:dyDescent="0.25">
      <c r="A32" s="31"/>
      <c r="B32" s="188"/>
      <c r="C32" s="21" t="s">
        <v>116</v>
      </c>
      <c r="D32" s="22" t="s">
        <v>117</v>
      </c>
      <c r="E32" s="23">
        <v>410</v>
      </c>
      <c r="F32" s="24" t="s">
        <v>118</v>
      </c>
      <c r="G32" s="25">
        <f t="shared" si="31"/>
        <v>161295383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>
        <v>110000000</v>
      </c>
      <c r="V32" s="25"/>
      <c r="W32" s="25">
        <f>11169156+40126227</f>
        <v>51295383</v>
      </c>
      <c r="X32" s="25"/>
      <c r="Y32" s="25"/>
      <c r="Z32" s="25"/>
      <c r="AB32" s="27">
        <f t="shared" si="1"/>
        <v>1</v>
      </c>
      <c r="AC32" s="25">
        <f t="shared" si="32"/>
        <v>161295383</v>
      </c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>
        <f>+'[4]ENERO 2016'!$Y$308</f>
        <v>110000000</v>
      </c>
      <c r="AS32" s="25"/>
      <c r="AT32" s="25">
        <f>+'[1]AGOSTO 2016'!$AA$1161</f>
        <v>51295383</v>
      </c>
      <c r="AU32" s="25"/>
      <c r="AV32" s="25"/>
      <c r="AW32" s="25"/>
      <c r="AX32" s="27">
        <f t="shared" si="3"/>
        <v>0</v>
      </c>
      <c r="AY32" s="25">
        <f t="shared" si="33"/>
        <v>0</v>
      </c>
      <c r="AZ32" s="25">
        <f t="shared" si="34"/>
        <v>0</v>
      </c>
      <c r="BA32" s="25">
        <f t="shared" si="34"/>
        <v>0</v>
      </c>
      <c r="BB32" s="25">
        <f t="shared" si="34"/>
        <v>0</v>
      </c>
      <c r="BC32" s="25">
        <f t="shared" si="35"/>
        <v>0</v>
      </c>
      <c r="BD32" s="25">
        <f t="shared" si="35"/>
        <v>0</v>
      </c>
      <c r="BE32" s="25">
        <f t="shared" si="35"/>
        <v>0</v>
      </c>
      <c r="BF32" s="25">
        <f t="shared" si="35"/>
        <v>0</v>
      </c>
      <c r="BG32" s="25">
        <f t="shared" si="35"/>
        <v>0</v>
      </c>
      <c r="BH32" s="25">
        <f t="shared" si="35"/>
        <v>0</v>
      </c>
      <c r="BI32" s="25">
        <f t="shared" si="35"/>
        <v>0</v>
      </c>
      <c r="BJ32" s="25">
        <f t="shared" si="35"/>
        <v>0</v>
      </c>
      <c r="BK32" s="25">
        <f t="shared" si="35"/>
        <v>0</v>
      </c>
      <c r="BL32" s="25"/>
      <c r="BM32" s="25">
        <f t="shared" si="35"/>
        <v>0</v>
      </c>
      <c r="BN32" s="25">
        <f t="shared" si="35"/>
        <v>0</v>
      </c>
      <c r="BO32" s="25">
        <f>+W32-AT32</f>
        <v>0</v>
      </c>
      <c r="BP32" s="25"/>
      <c r="BQ32" s="25"/>
      <c r="BR32" s="25">
        <f t="shared" si="36"/>
        <v>0</v>
      </c>
      <c r="BS32" s="27">
        <f t="shared" si="10"/>
        <v>0.59942486388466554</v>
      </c>
      <c r="BT32" s="25">
        <f t="shared" si="37"/>
        <v>96684463</v>
      </c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>
        <f>+'[1]AGOSTO 2016'!$H$1162+'[1]AGOSTO 2016'!$H$1177+'[1]AGOSTO 2016'!$H$1191</f>
        <v>96684463</v>
      </c>
      <c r="CJ32" s="25"/>
      <c r="CK32" s="25"/>
      <c r="CL32" s="25"/>
      <c r="CM32" s="25"/>
      <c r="CN32" s="25"/>
      <c r="CO32" s="27">
        <f t="shared" si="12"/>
        <v>0.40057513611533446</v>
      </c>
      <c r="CP32" s="25">
        <f t="shared" si="38"/>
        <v>64610920</v>
      </c>
      <c r="CQ32" s="25">
        <f t="shared" si="39"/>
        <v>0</v>
      </c>
      <c r="CR32" s="25">
        <f t="shared" si="39"/>
        <v>0</v>
      </c>
      <c r="CS32" s="25">
        <f t="shared" si="39"/>
        <v>0</v>
      </c>
      <c r="CT32" s="25">
        <f t="shared" si="39"/>
        <v>0</v>
      </c>
      <c r="CU32" s="25">
        <f t="shared" si="39"/>
        <v>0</v>
      </c>
      <c r="CV32" s="25">
        <f t="shared" si="39"/>
        <v>0</v>
      </c>
      <c r="CW32" s="25">
        <f t="shared" si="40"/>
        <v>0</v>
      </c>
      <c r="CX32" s="25">
        <f t="shared" si="40"/>
        <v>0</v>
      </c>
      <c r="CY32" s="25">
        <f t="shared" si="40"/>
        <v>0</v>
      </c>
      <c r="CZ32" s="25">
        <f t="shared" si="41"/>
        <v>0</v>
      </c>
      <c r="DA32" s="25">
        <f t="shared" si="41"/>
        <v>0</v>
      </c>
      <c r="DB32" s="25">
        <f t="shared" si="41"/>
        <v>0</v>
      </c>
      <c r="DC32" s="25">
        <f t="shared" si="41"/>
        <v>0</v>
      </c>
      <c r="DD32" s="25">
        <f t="shared" si="41"/>
        <v>13315537</v>
      </c>
      <c r="DE32" s="25">
        <f t="shared" si="41"/>
        <v>0</v>
      </c>
      <c r="DF32" s="25">
        <f>W32-CK32</f>
        <v>51295383</v>
      </c>
      <c r="DG32" s="25">
        <f t="shared" si="46"/>
        <v>0</v>
      </c>
      <c r="DH32" s="25">
        <f t="shared" si="46"/>
        <v>0</v>
      </c>
      <c r="DI32" s="25">
        <f t="shared" si="46"/>
        <v>0</v>
      </c>
      <c r="DK32" s="78"/>
      <c r="DL32" s="78"/>
      <c r="DM32" s="276">
        <f t="shared" si="44"/>
        <v>161295383</v>
      </c>
      <c r="DN32" s="277">
        <f t="shared" si="45"/>
        <v>96684463</v>
      </c>
      <c r="DO32" s="78"/>
    </row>
    <row r="33" spans="1:119" ht="34.5" hidden="1" customHeight="1" x14ac:dyDescent="0.25">
      <c r="A33" s="193" t="s">
        <v>87</v>
      </c>
      <c r="B33" s="186" t="s">
        <v>119</v>
      </c>
      <c r="C33" s="21" t="s">
        <v>120</v>
      </c>
      <c r="D33" s="22" t="s">
        <v>121</v>
      </c>
      <c r="E33" s="154">
        <v>410</v>
      </c>
      <c r="F33" s="24" t="s">
        <v>91</v>
      </c>
      <c r="G33" s="25">
        <f t="shared" si="31"/>
        <v>55000000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>
        <v>55000000</v>
      </c>
      <c r="V33" s="25"/>
      <c r="W33" s="25"/>
      <c r="X33" s="25"/>
      <c r="Y33" s="25"/>
      <c r="Z33" s="25"/>
      <c r="AB33" s="27">
        <f t="shared" si="1"/>
        <v>0.45671361818181816</v>
      </c>
      <c r="AC33" s="25">
        <f t="shared" si="32"/>
        <v>25119249</v>
      </c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>
        <f>+'[1]AGOSTO 2016'!$Y$1199</f>
        <v>25119249</v>
      </c>
      <c r="AS33" s="25"/>
      <c r="AT33" s="25"/>
      <c r="AU33" s="25"/>
      <c r="AV33" s="25"/>
      <c r="AW33" s="25"/>
      <c r="AX33" s="27">
        <f t="shared" si="3"/>
        <v>0.5432863818181819</v>
      </c>
      <c r="AY33" s="25">
        <f t="shared" si="33"/>
        <v>29880751</v>
      </c>
      <c r="AZ33" s="25">
        <f t="shared" si="34"/>
        <v>0</v>
      </c>
      <c r="BA33" s="25">
        <f t="shared" si="34"/>
        <v>0</v>
      </c>
      <c r="BB33" s="25">
        <f t="shared" si="34"/>
        <v>0</v>
      </c>
      <c r="BC33" s="25">
        <f t="shared" si="35"/>
        <v>0</v>
      </c>
      <c r="BD33" s="25">
        <f t="shared" si="35"/>
        <v>0</v>
      </c>
      <c r="BE33" s="25">
        <f t="shared" si="35"/>
        <v>0</v>
      </c>
      <c r="BF33" s="25">
        <f t="shared" si="35"/>
        <v>0</v>
      </c>
      <c r="BG33" s="25">
        <f t="shared" si="35"/>
        <v>0</v>
      </c>
      <c r="BH33" s="25">
        <f t="shared" si="35"/>
        <v>0</v>
      </c>
      <c r="BI33" s="25">
        <f t="shared" si="35"/>
        <v>0</v>
      </c>
      <c r="BJ33" s="25">
        <f t="shared" si="35"/>
        <v>0</v>
      </c>
      <c r="BK33" s="25">
        <f t="shared" si="35"/>
        <v>0</v>
      </c>
      <c r="BL33" s="25">
        <f>+T33-AQ33</f>
        <v>0</v>
      </c>
      <c r="BM33" s="25">
        <f t="shared" si="35"/>
        <v>29880751</v>
      </c>
      <c r="BN33" s="25">
        <f t="shared" si="35"/>
        <v>0</v>
      </c>
      <c r="BO33" s="25"/>
      <c r="BP33" s="25"/>
      <c r="BQ33" s="25"/>
      <c r="BR33" s="25">
        <f t="shared" si="36"/>
        <v>0</v>
      </c>
      <c r="BS33" s="27">
        <f t="shared" si="10"/>
        <v>0.4251843818181818</v>
      </c>
      <c r="BT33" s="25">
        <f t="shared" si="37"/>
        <v>23385141</v>
      </c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>
        <f>+'[1]AGOSTO 2016'!$H$1197</f>
        <v>23385141</v>
      </c>
      <c r="CJ33" s="25"/>
      <c r="CK33" s="25"/>
      <c r="CL33" s="25"/>
      <c r="CM33" s="25"/>
      <c r="CN33" s="25"/>
      <c r="CO33" s="27">
        <f t="shared" si="12"/>
        <v>0.57481561818181826</v>
      </c>
      <c r="CP33" s="25">
        <f t="shared" si="38"/>
        <v>31614859</v>
      </c>
      <c r="CQ33" s="25">
        <f t="shared" si="39"/>
        <v>0</v>
      </c>
      <c r="CR33" s="25">
        <f t="shared" si="39"/>
        <v>0</v>
      </c>
      <c r="CS33" s="25">
        <f t="shared" si="39"/>
        <v>0</v>
      </c>
      <c r="CT33" s="25">
        <f t="shared" si="39"/>
        <v>0</v>
      </c>
      <c r="CU33" s="25">
        <f t="shared" si="39"/>
        <v>0</v>
      </c>
      <c r="CV33" s="25">
        <f t="shared" si="39"/>
        <v>0</v>
      </c>
      <c r="CW33" s="25">
        <f t="shared" si="40"/>
        <v>0</v>
      </c>
      <c r="CX33" s="25">
        <f t="shared" si="40"/>
        <v>0</v>
      </c>
      <c r="CY33" s="25">
        <f t="shared" si="40"/>
        <v>0</v>
      </c>
      <c r="CZ33" s="25">
        <f t="shared" si="41"/>
        <v>0</v>
      </c>
      <c r="DA33" s="25">
        <f t="shared" si="41"/>
        <v>0</v>
      </c>
      <c r="DB33" s="25">
        <f t="shared" si="41"/>
        <v>0</v>
      </c>
      <c r="DC33" s="25">
        <f t="shared" ref="DC33:DE35" si="47">+T33-CH33</f>
        <v>0</v>
      </c>
      <c r="DD33" s="25">
        <f t="shared" si="47"/>
        <v>31614859</v>
      </c>
      <c r="DE33" s="25">
        <f t="shared" si="47"/>
        <v>0</v>
      </c>
      <c r="DF33" s="25"/>
      <c r="DG33" s="25">
        <f>+X33-CL33</f>
        <v>0</v>
      </c>
      <c r="DH33" s="25">
        <f t="shared" si="46"/>
        <v>0</v>
      </c>
      <c r="DI33" s="25">
        <f>+Z33-CN33</f>
        <v>0</v>
      </c>
      <c r="DK33" s="78"/>
      <c r="DL33" s="78"/>
      <c r="DM33" s="276">
        <f t="shared" si="44"/>
        <v>55000000</v>
      </c>
      <c r="DN33" s="277">
        <f t="shared" si="45"/>
        <v>23385141</v>
      </c>
      <c r="DO33" s="78"/>
    </row>
    <row r="34" spans="1:119" ht="36.75" hidden="1" customHeight="1" x14ac:dyDescent="0.25">
      <c r="A34" s="193"/>
      <c r="B34" s="187"/>
      <c r="C34" s="21" t="s">
        <v>122</v>
      </c>
      <c r="D34" s="22" t="s">
        <v>123</v>
      </c>
      <c r="E34" s="23">
        <v>410</v>
      </c>
      <c r="F34" s="24" t="s">
        <v>124</v>
      </c>
      <c r="G34" s="25">
        <f t="shared" si="31"/>
        <v>53000000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>
        <v>50000000</v>
      </c>
      <c r="V34" s="25"/>
      <c r="W34" s="25"/>
      <c r="X34" s="25"/>
      <c r="Y34" s="25"/>
      <c r="Z34" s="25">
        <v>3000000</v>
      </c>
      <c r="AB34" s="27">
        <f t="shared" si="1"/>
        <v>0.32296618867924526</v>
      </c>
      <c r="AC34" s="25">
        <f t="shared" si="32"/>
        <v>17117208</v>
      </c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>
        <f>+'[1]AGOSTO 2016'!$Y$1231</f>
        <v>16217208</v>
      </c>
      <c r="AS34" s="25"/>
      <c r="AT34" s="25"/>
      <c r="AU34" s="25"/>
      <c r="AV34" s="25"/>
      <c r="AW34" s="25">
        <f>+'[1]AGOSTO 2016'!$AG$1231</f>
        <v>900000</v>
      </c>
      <c r="AX34" s="27">
        <f t="shared" si="3"/>
        <v>0.6770338113207548</v>
      </c>
      <c r="AY34" s="25">
        <f t="shared" si="33"/>
        <v>35882792</v>
      </c>
      <c r="AZ34" s="25">
        <f t="shared" si="34"/>
        <v>0</v>
      </c>
      <c r="BA34" s="25">
        <f t="shared" si="34"/>
        <v>0</v>
      </c>
      <c r="BB34" s="25">
        <f t="shared" si="34"/>
        <v>0</v>
      </c>
      <c r="BC34" s="25">
        <f t="shared" si="35"/>
        <v>0</v>
      </c>
      <c r="BD34" s="25">
        <f t="shared" si="35"/>
        <v>0</v>
      </c>
      <c r="BE34" s="25">
        <f t="shared" si="35"/>
        <v>0</v>
      </c>
      <c r="BF34" s="25">
        <f t="shared" si="35"/>
        <v>0</v>
      </c>
      <c r="BG34" s="25">
        <f t="shared" si="35"/>
        <v>0</v>
      </c>
      <c r="BH34" s="25">
        <f t="shared" si="35"/>
        <v>0</v>
      </c>
      <c r="BI34" s="25">
        <f t="shared" si="35"/>
        <v>0</v>
      </c>
      <c r="BJ34" s="25">
        <f t="shared" si="35"/>
        <v>0</v>
      </c>
      <c r="BK34" s="25">
        <f t="shared" si="35"/>
        <v>0</v>
      </c>
      <c r="BL34" s="25">
        <f>+T34-AQ34</f>
        <v>0</v>
      </c>
      <c r="BM34" s="25">
        <f t="shared" si="35"/>
        <v>33782792</v>
      </c>
      <c r="BN34" s="25">
        <f t="shared" si="35"/>
        <v>0</v>
      </c>
      <c r="BO34" s="25"/>
      <c r="BP34" s="25"/>
      <c r="BQ34" s="25"/>
      <c r="BR34" s="25">
        <f t="shared" si="36"/>
        <v>2100000</v>
      </c>
      <c r="BS34" s="27">
        <f t="shared" si="10"/>
        <v>0.27767788679245281</v>
      </c>
      <c r="BT34" s="25">
        <f t="shared" si="37"/>
        <v>14716928</v>
      </c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>
        <f>+'[1]AGOSTO 2016'!$H$1229</f>
        <v>14716928</v>
      </c>
      <c r="CJ34" s="25"/>
      <c r="CK34" s="25"/>
      <c r="CL34" s="25"/>
      <c r="CM34" s="25"/>
      <c r="CN34" s="25"/>
      <c r="CO34" s="27">
        <f t="shared" si="12"/>
        <v>0.72232211320754725</v>
      </c>
      <c r="CP34" s="25">
        <f t="shared" si="38"/>
        <v>38283072</v>
      </c>
      <c r="CQ34" s="25">
        <f t="shared" si="39"/>
        <v>0</v>
      </c>
      <c r="CR34" s="25">
        <f t="shared" si="39"/>
        <v>0</v>
      </c>
      <c r="CS34" s="25">
        <f t="shared" si="39"/>
        <v>0</v>
      </c>
      <c r="CT34" s="25">
        <f t="shared" si="39"/>
        <v>0</v>
      </c>
      <c r="CU34" s="25">
        <f t="shared" si="39"/>
        <v>0</v>
      </c>
      <c r="CV34" s="25">
        <f t="shared" si="39"/>
        <v>0</v>
      </c>
      <c r="CW34" s="25">
        <f t="shared" si="40"/>
        <v>0</v>
      </c>
      <c r="CX34" s="25">
        <f t="shared" si="40"/>
        <v>0</v>
      </c>
      <c r="CY34" s="25">
        <f t="shared" si="40"/>
        <v>0</v>
      </c>
      <c r="CZ34" s="25">
        <f t="shared" si="41"/>
        <v>0</v>
      </c>
      <c r="DA34" s="25">
        <f t="shared" si="41"/>
        <v>0</v>
      </c>
      <c r="DB34" s="25">
        <f t="shared" si="41"/>
        <v>0</v>
      </c>
      <c r="DC34" s="25">
        <f t="shared" si="47"/>
        <v>0</v>
      </c>
      <c r="DD34" s="25">
        <f t="shared" si="47"/>
        <v>35283072</v>
      </c>
      <c r="DE34" s="25">
        <f t="shared" si="47"/>
        <v>0</v>
      </c>
      <c r="DF34" s="25"/>
      <c r="DG34" s="25">
        <f>+X34-CL34</f>
        <v>0</v>
      </c>
      <c r="DH34" s="25">
        <f t="shared" si="46"/>
        <v>0</v>
      </c>
      <c r="DI34" s="25">
        <f>+Z34-CN34</f>
        <v>3000000</v>
      </c>
      <c r="DK34" s="78"/>
      <c r="DL34" s="78"/>
      <c r="DM34" s="276">
        <f t="shared" si="44"/>
        <v>53000000</v>
      </c>
      <c r="DN34" s="277">
        <f t="shared" si="45"/>
        <v>14716928</v>
      </c>
      <c r="DO34" s="78"/>
    </row>
    <row r="35" spans="1:119" ht="24" hidden="1" customHeight="1" x14ac:dyDescent="0.25">
      <c r="A35" s="193"/>
      <c r="B35" s="187"/>
      <c r="C35" s="21" t="s">
        <v>125</v>
      </c>
      <c r="D35" s="22" t="s">
        <v>126</v>
      </c>
      <c r="E35" s="23">
        <v>410</v>
      </c>
      <c r="F35" s="24" t="s">
        <v>91</v>
      </c>
      <c r="G35" s="25">
        <f t="shared" si="31"/>
        <v>34794000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>
        <f>40000000-5206000</f>
        <v>34794000</v>
      </c>
      <c r="V35" s="25"/>
      <c r="W35" s="25"/>
      <c r="X35" s="25"/>
      <c r="Y35" s="25"/>
      <c r="Z35" s="25"/>
      <c r="AB35" s="27">
        <f t="shared" si="1"/>
        <v>1</v>
      </c>
      <c r="AC35" s="25">
        <f t="shared" si="32"/>
        <v>34794000</v>
      </c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>
        <f>+'[1]AGOSTO 2016'!$Y$1264</f>
        <v>34794000</v>
      </c>
      <c r="AS35" s="25"/>
      <c r="AT35" s="25"/>
      <c r="AU35" s="25"/>
      <c r="AV35" s="25"/>
      <c r="AW35" s="25"/>
      <c r="AX35" s="27">
        <f t="shared" si="3"/>
        <v>0</v>
      </c>
      <c r="AY35" s="25">
        <f t="shared" si="33"/>
        <v>0</v>
      </c>
      <c r="AZ35" s="25">
        <f t="shared" si="34"/>
        <v>0</v>
      </c>
      <c r="BA35" s="25">
        <f t="shared" si="34"/>
        <v>0</v>
      </c>
      <c r="BB35" s="25">
        <f t="shared" si="34"/>
        <v>0</v>
      </c>
      <c r="BC35" s="25">
        <f t="shared" si="35"/>
        <v>0</v>
      </c>
      <c r="BD35" s="25">
        <f t="shared" si="35"/>
        <v>0</v>
      </c>
      <c r="BE35" s="25">
        <f t="shared" si="35"/>
        <v>0</v>
      </c>
      <c r="BF35" s="25">
        <f t="shared" si="35"/>
        <v>0</v>
      </c>
      <c r="BG35" s="25">
        <f t="shared" si="35"/>
        <v>0</v>
      </c>
      <c r="BH35" s="25">
        <f t="shared" si="35"/>
        <v>0</v>
      </c>
      <c r="BI35" s="25">
        <f t="shared" si="35"/>
        <v>0</v>
      </c>
      <c r="BJ35" s="25">
        <f t="shared" si="35"/>
        <v>0</v>
      </c>
      <c r="BK35" s="25">
        <f t="shared" si="35"/>
        <v>0</v>
      </c>
      <c r="BL35" s="25">
        <f>+T35-AQ35</f>
        <v>0</v>
      </c>
      <c r="BM35" s="25">
        <f t="shared" si="35"/>
        <v>0</v>
      </c>
      <c r="BN35" s="25">
        <f t="shared" si="35"/>
        <v>0</v>
      </c>
      <c r="BO35" s="25"/>
      <c r="BP35" s="25"/>
      <c r="BQ35" s="25"/>
      <c r="BR35" s="25">
        <f t="shared" si="36"/>
        <v>0</v>
      </c>
      <c r="BS35" s="27">
        <f t="shared" si="10"/>
        <v>0.8322222222222222</v>
      </c>
      <c r="BT35" s="25">
        <f t="shared" si="37"/>
        <v>28956340</v>
      </c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>
        <f>+'[2]MARZO 2016 ULTIMO'!$H$552</f>
        <v>28956340</v>
      </c>
      <c r="CJ35" s="25"/>
      <c r="CK35" s="25"/>
      <c r="CL35" s="25"/>
      <c r="CM35" s="25"/>
      <c r="CN35" s="25"/>
      <c r="CO35" s="27">
        <f t="shared" si="12"/>
        <v>0.1677777777777778</v>
      </c>
      <c r="CP35" s="25">
        <f t="shared" si="38"/>
        <v>5837660</v>
      </c>
      <c r="CQ35" s="25">
        <f t="shared" si="39"/>
        <v>0</v>
      </c>
      <c r="CR35" s="25">
        <f t="shared" si="39"/>
        <v>0</v>
      </c>
      <c r="CS35" s="25">
        <f t="shared" si="39"/>
        <v>0</v>
      </c>
      <c r="CT35" s="25">
        <f t="shared" si="39"/>
        <v>0</v>
      </c>
      <c r="CU35" s="25">
        <f t="shared" si="39"/>
        <v>0</v>
      </c>
      <c r="CV35" s="25">
        <f t="shared" si="39"/>
        <v>0</v>
      </c>
      <c r="CW35" s="25">
        <f t="shared" si="40"/>
        <v>0</v>
      </c>
      <c r="CX35" s="25">
        <f t="shared" si="40"/>
        <v>0</v>
      </c>
      <c r="CY35" s="25">
        <f t="shared" si="40"/>
        <v>0</v>
      </c>
      <c r="CZ35" s="25">
        <f t="shared" si="41"/>
        <v>0</v>
      </c>
      <c r="DA35" s="25">
        <f t="shared" si="41"/>
        <v>0</v>
      </c>
      <c r="DB35" s="25">
        <f t="shared" si="41"/>
        <v>0</v>
      </c>
      <c r="DC35" s="25">
        <f t="shared" si="47"/>
        <v>0</v>
      </c>
      <c r="DD35" s="25">
        <f t="shared" si="47"/>
        <v>5837660</v>
      </c>
      <c r="DE35" s="25">
        <f t="shared" si="47"/>
        <v>0</v>
      </c>
      <c r="DF35" s="25"/>
      <c r="DG35" s="25">
        <f>+X35-CL35</f>
        <v>0</v>
      </c>
      <c r="DH35" s="25">
        <f t="shared" si="46"/>
        <v>0</v>
      </c>
      <c r="DI35" s="25">
        <f>+Z35-CN35</f>
        <v>0</v>
      </c>
      <c r="DK35" s="78"/>
      <c r="DL35" s="78"/>
      <c r="DM35" s="276">
        <f t="shared" si="44"/>
        <v>34794000</v>
      </c>
      <c r="DN35" s="277">
        <f t="shared" si="45"/>
        <v>28956340</v>
      </c>
      <c r="DO35" s="78"/>
    </row>
    <row r="36" spans="1:119" ht="24.75" hidden="1" customHeight="1" x14ac:dyDescent="0.25">
      <c r="A36" s="193"/>
      <c r="B36" s="188"/>
      <c r="C36" s="21" t="s">
        <v>127</v>
      </c>
      <c r="D36" s="22" t="s">
        <v>128</v>
      </c>
      <c r="E36" s="23">
        <v>410</v>
      </c>
      <c r="F36" s="24" t="s">
        <v>91</v>
      </c>
      <c r="G36" s="25">
        <f t="shared" si="31"/>
        <v>105000000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>
        <v>105000000</v>
      </c>
      <c r="V36" s="25"/>
      <c r="W36" s="25"/>
      <c r="X36" s="25"/>
      <c r="Y36" s="25"/>
      <c r="Z36" s="25"/>
      <c r="AB36" s="27">
        <f t="shared" si="1"/>
        <v>1</v>
      </c>
      <c r="AC36" s="25">
        <f t="shared" si="32"/>
        <v>105000000</v>
      </c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>
        <f>+'[7]JUNIO 2016'!$Y$953</f>
        <v>105000000</v>
      </c>
      <c r="AS36" s="25"/>
      <c r="AT36" s="25"/>
      <c r="AU36" s="25"/>
      <c r="AV36" s="25"/>
      <c r="AW36" s="25"/>
      <c r="AX36" s="27">
        <f t="shared" si="3"/>
        <v>0</v>
      </c>
      <c r="AY36" s="25">
        <f t="shared" si="33"/>
        <v>0</v>
      </c>
      <c r="AZ36" s="25">
        <f t="shared" si="34"/>
        <v>0</v>
      </c>
      <c r="BA36" s="25">
        <f t="shared" si="34"/>
        <v>0</v>
      </c>
      <c r="BB36" s="25">
        <f t="shared" si="34"/>
        <v>0</v>
      </c>
      <c r="BC36" s="25">
        <f t="shared" si="34"/>
        <v>0</v>
      </c>
      <c r="BD36" s="25">
        <f t="shared" si="34"/>
        <v>0</v>
      </c>
      <c r="BE36" s="25">
        <f t="shared" si="34"/>
        <v>0</v>
      </c>
      <c r="BF36" s="25">
        <f t="shared" si="34"/>
        <v>0</v>
      </c>
      <c r="BG36" s="25">
        <f t="shared" si="34"/>
        <v>0</v>
      </c>
      <c r="BH36" s="25">
        <f t="shared" si="34"/>
        <v>0</v>
      </c>
      <c r="BI36" s="25">
        <f t="shared" si="34"/>
        <v>0</v>
      </c>
      <c r="BJ36" s="25">
        <f t="shared" si="34"/>
        <v>0</v>
      </c>
      <c r="BK36" s="25">
        <f t="shared" si="34"/>
        <v>0</v>
      </c>
      <c r="BL36" s="25">
        <f t="shared" si="34"/>
        <v>0</v>
      </c>
      <c r="BM36" s="25">
        <f t="shared" si="34"/>
        <v>0</v>
      </c>
      <c r="BN36" s="25">
        <f t="shared" si="34"/>
        <v>0</v>
      </c>
      <c r="BO36" s="25"/>
      <c r="BP36" s="25">
        <f>X36-AU36</f>
        <v>0</v>
      </c>
      <c r="BQ36" s="25">
        <f>Y36-AV36</f>
        <v>0</v>
      </c>
      <c r="BR36" s="25">
        <f>Z36-AW36</f>
        <v>0</v>
      </c>
      <c r="BS36" s="27">
        <f t="shared" si="10"/>
        <v>1</v>
      </c>
      <c r="BT36" s="25">
        <f t="shared" si="37"/>
        <v>105000000</v>
      </c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>
        <f>+'[7]JUNIO 2016'!$H$951</f>
        <v>105000000</v>
      </c>
      <c r="CJ36" s="25"/>
      <c r="CK36" s="25"/>
      <c r="CL36" s="25"/>
      <c r="CM36" s="25"/>
      <c r="CN36" s="25"/>
      <c r="CO36" s="27">
        <f t="shared" si="12"/>
        <v>0</v>
      </c>
      <c r="CP36" s="25">
        <f t="shared" si="38"/>
        <v>0</v>
      </c>
      <c r="CQ36" s="25">
        <f t="shared" si="39"/>
        <v>0</v>
      </c>
      <c r="CR36" s="25">
        <f t="shared" si="39"/>
        <v>0</v>
      </c>
      <c r="CS36" s="25">
        <f t="shared" si="39"/>
        <v>0</v>
      </c>
      <c r="CT36" s="25">
        <f t="shared" si="39"/>
        <v>0</v>
      </c>
      <c r="CU36" s="25">
        <f t="shared" si="39"/>
        <v>0</v>
      </c>
      <c r="CV36" s="25">
        <f t="shared" si="39"/>
        <v>0</v>
      </c>
      <c r="CW36" s="25">
        <f>N36-CB36</f>
        <v>0</v>
      </c>
      <c r="CX36" s="25">
        <f>O36-CC36</f>
        <v>0</v>
      </c>
      <c r="CY36" s="25">
        <f>P36-CD36</f>
        <v>0</v>
      </c>
      <c r="CZ36" s="25">
        <f t="shared" si="41"/>
        <v>0</v>
      </c>
      <c r="DA36" s="25">
        <f t="shared" si="41"/>
        <v>0</v>
      </c>
      <c r="DB36" s="25">
        <f t="shared" si="41"/>
        <v>0</v>
      </c>
      <c r="DC36" s="25">
        <f>T36-CH36</f>
        <v>0</v>
      </c>
      <c r="DD36" s="25">
        <f>U36-CI36</f>
        <v>0</v>
      </c>
      <c r="DE36" s="25">
        <f>V36-CJ36</f>
        <v>0</v>
      </c>
      <c r="DF36" s="25"/>
      <c r="DG36" s="25">
        <f>X36-CL36</f>
        <v>0</v>
      </c>
      <c r="DH36" s="25">
        <f t="shared" si="46"/>
        <v>0</v>
      </c>
      <c r="DI36" s="25">
        <f>Z36-CN36</f>
        <v>0</v>
      </c>
      <c r="DK36" s="78"/>
      <c r="DL36" s="78"/>
      <c r="DM36" s="276">
        <f t="shared" si="44"/>
        <v>105000000</v>
      </c>
      <c r="DN36" s="277">
        <f t="shared" si="45"/>
        <v>105000000</v>
      </c>
      <c r="DO36" s="78"/>
    </row>
    <row r="37" spans="1:119" ht="33.75" hidden="1" customHeight="1" x14ac:dyDescent="0.25">
      <c r="A37" s="193"/>
      <c r="B37" s="186" t="s">
        <v>129</v>
      </c>
      <c r="C37" s="21" t="s">
        <v>130</v>
      </c>
      <c r="D37" s="22" t="s">
        <v>131</v>
      </c>
      <c r="E37" s="23">
        <v>410</v>
      </c>
      <c r="F37" s="24" t="s">
        <v>91</v>
      </c>
      <c r="G37" s="25">
        <f t="shared" si="31"/>
        <v>280000000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>
        <v>280000000</v>
      </c>
      <c r="T37" s="25"/>
      <c r="U37" s="25"/>
      <c r="V37" s="25"/>
      <c r="W37" s="25"/>
      <c r="X37" s="25"/>
      <c r="Y37" s="25"/>
      <c r="Z37" s="25"/>
      <c r="AB37" s="27">
        <f t="shared" si="1"/>
        <v>0.70340974642857146</v>
      </c>
      <c r="AC37" s="25">
        <f t="shared" si="32"/>
        <v>196954729</v>
      </c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>
        <f>+'[1]AGOSTO 2016'!$W$1300</f>
        <v>196954729</v>
      </c>
      <c r="AQ37" s="25"/>
      <c r="AR37" s="25"/>
      <c r="AS37" s="25"/>
      <c r="AT37" s="25"/>
      <c r="AU37" s="25"/>
      <c r="AV37" s="25"/>
      <c r="AW37" s="25"/>
      <c r="AX37" s="27">
        <f t="shared" si="3"/>
        <v>0.29659025357142854</v>
      </c>
      <c r="AY37" s="25">
        <f t="shared" si="33"/>
        <v>83045271</v>
      </c>
      <c r="AZ37" s="25">
        <f t="shared" si="34"/>
        <v>0</v>
      </c>
      <c r="BA37" s="25">
        <f t="shared" si="34"/>
        <v>0</v>
      </c>
      <c r="BB37" s="25">
        <f t="shared" si="34"/>
        <v>0</v>
      </c>
      <c r="BC37" s="25">
        <f t="shared" ref="BC37:BN52" si="48">+K37-AH37</f>
        <v>0</v>
      </c>
      <c r="BD37" s="25">
        <f t="shared" si="48"/>
        <v>0</v>
      </c>
      <c r="BE37" s="25">
        <f t="shared" si="48"/>
        <v>0</v>
      </c>
      <c r="BF37" s="25">
        <f t="shared" si="48"/>
        <v>0</v>
      </c>
      <c r="BG37" s="25">
        <f t="shared" si="48"/>
        <v>0</v>
      </c>
      <c r="BH37" s="25">
        <f t="shared" si="48"/>
        <v>0</v>
      </c>
      <c r="BI37" s="25">
        <f t="shared" si="48"/>
        <v>0</v>
      </c>
      <c r="BJ37" s="25">
        <f t="shared" si="48"/>
        <v>0</v>
      </c>
      <c r="BK37" s="25">
        <f t="shared" si="48"/>
        <v>83045271</v>
      </c>
      <c r="BL37" s="25">
        <f t="shared" si="48"/>
        <v>0</v>
      </c>
      <c r="BM37" s="25">
        <f t="shared" si="48"/>
        <v>0</v>
      </c>
      <c r="BN37" s="25">
        <f t="shared" si="48"/>
        <v>0</v>
      </c>
      <c r="BO37" s="25"/>
      <c r="BP37" s="25"/>
      <c r="BQ37" s="25">
        <f t="shared" ref="BQ37:BQ57" si="49">Y37-AV37</f>
        <v>0</v>
      </c>
      <c r="BR37" s="25">
        <f t="shared" ref="BR37:BR57" si="50">+Z37-AW37</f>
        <v>0</v>
      </c>
      <c r="BS37" s="27">
        <f t="shared" si="10"/>
        <v>0.61781331785714289</v>
      </c>
      <c r="BT37" s="25">
        <f t="shared" si="37"/>
        <v>172987729</v>
      </c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>
        <f>+'[1]AGOSTO 2016'!$H$1298</f>
        <v>172987729</v>
      </c>
      <c r="CH37" s="25"/>
      <c r="CI37" s="25"/>
      <c r="CJ37" s="25"/>
      <c r="CK37" s="25"/>
      <c r="CL37" s="25"/>
      <c r="CM37" s="25"/>
      <c r="CN37" s="25"/>
      <c r="CO37" s="27">
        <f t="shared" si="12"/>
        <v>0.38218668214285711</v>
      </c>
      <c r="CP37" s="25">
        <f t="shared" si="38"/>
        <v>107012271</v>
      </c>
      <c r="CQ37" s="25">
        <f t="shared" si="39"/>
        <v>0</v>
      </c>
      <c r="CR37" s="25">
        <f t="shared" si="39"/>
        <v>0</v>
      </c>
      <c r="CS37" s="25">
        <f t="shared" si="39"/>
        <v>0</v>
      </c>
      <c r="CT37" s="25">
        <f t="shared" si="39"/>
        <v>0</v>
      </c>
      <c r="CU37" s="25">
        <f t="shared" si="39"/>
        <v>0</v>
      </c>
      <c r="CV37" s="25">
        <f t="shared" si="39"/>
        <v>0</v>
      </c>
      <c r="CW37" s="25">
        <f t="shared" ref="CW37:DB48" si="51">+N37-CB37</f>
        <v>0</v>
      </c>
      <c r="CX37" s="25">
        <f t="shared" si="51"/>
        <v>0</v>
      </c>
      <c r="CY37" s="25">
        <f t="shared" si="51"/>
        <v>0</v>
      </c>
      <c r="CZ37" s="25">
        <f t="shared" si="41"/>
        <v>0</v>
      </c>
      <c r="DA37" s="25">
        <f t="shared" si="41"/>
        <v>0</v>
      </c>
      <c r="DB37" s="25">
        <f t="shared" si="41"/>
        <v>107012271</v>
      </c>
      <c r="DC37" s="25">
        <f t="shared" ref="DC37:DE48" si="52">+T37-CH37</f>
        <v>0</v>
      </c>
      <c r="DD37" s="25">
        <f t="shared" si="52"/>
        <v>0</v>
      </c>
      <c r="DE37" s="25">
        <f t="shared" si="52"/>
        <v>0</v>
      </c>
      <c r="DF37" s="25"/>
      <c r="DG37" s="25">
        <f t="shared" ref="DG37:DG48" si="53">+X37-CL37</f>
        <v>0</v>
      </c>
      <c r="DH37" s="25">
        <f t="shared" si="46"/>
        <v>0</v>
      </c>
      <c r="DI37" s="25">
        <f t="shared" ref="DI37:DI48" si="54">+Z37-CN37</f>
        <v>0</v>
      </c>
      <c r="DK37" s="78"/>
      <c r="DL37" s="78"/>
      <c r="DM37" s="276">
        <f t="shared" si="44"/>
        <v>280000000</v>
      </c>
      <c r="DN37" s="277">
        <f t="shared" si="45"/>
        <v>172987729</v>
      </c>
      <c r="DO37" s="78"/>
    </row>
    <row r="38" spans="1:119" ht="42" hidden="1" customHeight="1" x14ac:dyDescent="0.25">
      <c r="A38" s="193"/>
      <c r="B38" s="187"/>
      <c r="C38" s="21" t="s">
        <v>132</v>
      </c>
      <c r="D38" s="55" t="s">
        <v>133</v>
      </c>
      <c r="E38" s="23">
        <v>410</v>
      </c>
      <c r="F38" s="24" t="s">
        <v>134</v>
      </c>
      <c r="G38" s="25">
        <f t="shared" si="31"/>
        <v>178627198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>
        <v>7696735</v>
      </c>
      <c r="T38" s="25"/>
      <c r="U38" s="25">
        <v>147930463</v>
      </c>
      <c r="V38" s="25"/>
      <c r="W38" s="25"/>
      <c r="X38" s="25"/>
      <c r="Y38" s="56"/>
      <c r="Z38" s="56">
        <f>35000000+3000000-15000000</f>
        <v>23000000</v>
      </c>
      <c r="AB38" s="27">
        <f t="shared" si="1"/>
        <v>0.50927316790805843</v>
      </c>
      <c r="AC38" s="25">
        <f t="shared" si="32"/>
        <v>90970039</v>
      </c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>
        <f>+'[7]JUNIO 2016'!$W$1028</f>
        <v>7654735</v>
      </c>
      <c r="AQ38" s="25"/>
      <c r="AR38" s="25">
        <f>+'[1]AGOSTO 2016'!$Y$1384</f>
        <v>61816077</v>
      </c>
      <c r="AS38" s="25"/>
      <c r="AT38" s="25"/>
      <c r="AU38" s="25"/>
      <c r="AV38" s="25"/>
      <c r="AW38" s="25">
        <f>+'[1]AGOSTO 2016'!$AG$1384</f>
        <v>21499227</v>
      </c>
      <c r="AX38" s="27">
        <f t="shared" si="3"/>
        <v>0.49072683209194157</v>
      </c>
      <c r="AY38" s="25">
        <f t="shared" si="33"/>
        <v>87657159</v>
      </c>
      <c r="AZ38" s="25">
        <f t="shared" si="34"/>
        <v>0</v>
      </c>
      <c r="BA38" s="25">
        <f t="shared" si="34"/>
        <v>0</v>
      </c>
      <c r="BB38" s="25">
        <f t="shared" si="34"/>
        <v>0</v>
      </c>
      <c r="BC38" s="25">
        <f t="shared" si="48"/>
        <v>0</v>
      </c>
      <c r="BD38" s="25">
        <f t="shared" si="48"/>
        <v>0</v>
      </c>
      <c r="BE38" s="25">
        <f t="shared" si="48"/>
        <v>0</v>
      </c>
      <c r="BF38" s="25">
        <f t="shared" si="48"/>
        <v>0</v>
      </c>
      <c r="BG38" s="25">
        <f t="shared" si="48"/>
        <v>0</v>
      </c>
      <c r="BH38" s="25">
        <f t="shared" si="48"/>
        <v>0</v>
      </c>
      <c r="BI38" s="25">
        <f t="shared" si="48"/>
        <v>0</v>
      </c>
      <c r="BJ38" s="25">
        <f t="shared" si="48"/>
        <v>0</v>
      </c>
      <c r="BK38" s="25">
        <f t="shared" si="48"/>
        <v>42000</v>
      </c>
      <c r="BL38" s="25">
        <f t="shared" si="48"/>
        <v>0</v>
      </c>
      <c r="BM38" s="25">
        <f t="shared" si="48"/>
        <v>86114386</v>
      </c>
      <c r="BN38" s="25">
        <f t="shared" si="48"/>
        <v>0</v>
      </c>
      <c r="BO38" s="25"/>
      <c r="BP38" s="25"/>
      <c r="BQ38" s="25">
        <f t="shared" si="49"/>
        <v>0</v>
      </c>
      <c r="BR38" s="25">
        <f t="shared" si="50"/>
        <v>1500773</v>
      </c>
      <c r="BS38" s="27">
        <f t="shared" si="10"/>
        <v>0.50927305594302608</v>
      </c>
      <c r="BT38" s="25">
        <f t="shared" si="37"/>
        <v>90970019</v>
      </c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>
        <f>+'[8]MAYO 2016'!$H$901+'[8]MAYO 2016'!$H$904+'[8]MAYO 2016'!$H$906+'[8]MAYO 2016'!$W$908</f>
        <v>7654735</v>
      </c>
      <c r="CH38" s="25"/>
      <c r="CI38" s="25">
        <f>+'[1]AGOSTO 2016'!$Y$1384-3</f>
        <v>61816074</v>
      </c>
      <c r="CJ38" s="25"/>
      <c r="CK38" s="25"/>
      <c r="CL38" s="25"/>
      <c r="CM38" s="25"/>
      <c r="CN38" s="25">
        <f>+'[1]AGOSTO 2016'!$AG$1384-17</f>
        <v>21499210</v>
      </c>
      <c r="CO38" s="27">
        <f t="shared" si="12"/>
        <v>0.49072694405697392</v>
      </c>
      <c r="CP38" s="25">
        <f t="shared" si="38"/>
        <v>87657179</v>
      </c>
      <c r="CQ38" s="25">
        <f t="shared" si="39"/>
        <v>0</v>
      </c>
      <c r="CR38" s="25">
        <f t="shared" si="39"/>
        <v>0</v>
      </c>
      <c r="CS38" s="25">
        <f t="shared" si="39"/>
        <v>0</v>
      </c>
      <c r="CT38" s="25">
        <f t="shared" si="39"/>
        <v>0</v>
      </c>
      <c r="CU38" s="25">
        <f t="shared" si="39"/>
        <v>0</v>
      </c>
      <c r="CV38" s="25">
        <f t="shared" si="39"/>
        <v>0</v>
      </c>
      <c r="CW38" s="25">
        <f t="shared" si="51"/>
        <v>0</v>
      </c>
      <c r="CX38" s="25">
        <f t="shared" si="51"/>
        <v>0</v>
      </c>
      <c r="CY38" s="25">
        <f t="shared" si="51"/>
        <v>0</v>
      </c>
      <c r="CZ38" s="25">
        <f t="shared" si="41"/>
        <v>0</v>
      </c>
      <c r="DA38" s="25">
        <f t="shared" si="41"/>
        <v>0</v>
      </c>
      <c r="DB38" s="25">
        <f t="shared" si="41"/>
        <v>42000</v>
      </c>
      <c r="DC38" s="25">
        <f t="shared" si="52"/>
        <v>0</v>
      </c>
      <c r="DD38" s="25">
        <f t="shared" si="52"/>
        <v>86114389</v>
      </c>
      <c r="DE38" s="25">
        <f t="shared" si="52"/>
        <v>0</v>
      </c>
      <c r="DF38" s="25"/>
      <c r="DG38" s="25">
        <f t="shared" si="53"/>
        <v>0</v>
      </c>
      <c r="DH38" s="25">
        <f t="shared" si="46"/>
        <v>0</v>
      </c>
      <c r="DI38" s="25">
        <f t="shared" si="54"/>
        <v>1500790</v>
      </c>
      <c r="DK38" s="78"/>
      <c r="DL38" s="78"/>
      <c r="DM38" s="276">
        <f t="shared" si="44"/>
        <v>178627198</v>
      </c>
      <c r="DN38" s="277">
        <f t="shared" si="45"/>
        <v>90970019</v>
      </c>
      <c r="DO38" s="78"/>
    </row>
    <row r="39" spans="1:119" ht="35.25" hidden="1" customHeight="1" x14ac:dyDescent="0.25">
      <c r="A39" s="193"/>
      <c r="B39" s="187"/>
      <c r="C39" s="21" t="s">
        <v>135</v>
      </c>
      <c r="D39" s="22" t="s">
        <v>136</v>
      </c>
      <c r="E39" s="23">
        <v>410</v>
      </c>
      <c r="F39" s="24" t="s">
        <v>91</v>
      </c>
      <c r="G39" s="25">
        <f t="shared" si="31"/>
        <v>200000000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>
        <v>100000000</v>
      </c>
      <c r="T39" s="25"/>
      <c r="U39" s="25"/>
      <c r="V39" s="25"/>
      <c r="W39" s="25"/>
      <c r="X39" s="25"/>
      <c r="Y39" s="56">
        <f>62258164+37741836</f>
        <v>100000000</v>
      </c>
      <c r="Z39" s="56"/>
      <c r="AB39" s="27">
        <f t="shared" si="1"/>
        <v>0.54790000000000005</v>
      </c>
      <c r="AC39" s="25">
        <f t="shared" si="32"/>
        <v>109580000</v>
      </c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>
        <f>+'[4]ENERO 2016'!$W$352</f>
        <v>100000000</v>
      </c>
      <c r="AQ39" s="25"/>
      <c r="AR39" s="25"/>
      <c r="AS39" s="25"/>
      <c r="AT39" s="25"/>
      <c r="AU39" s="25"/>
      <c r="AV39" s="25">
        <f>+'[7]JUNIO 2016'!$AF$1063</f>
        <v>9580000</v>
      </c>
      <c r="AW39" s="25"/>
      <c r="AX39" s="27">
        <f t="shared" si="3"/>
        <v>0.45209999999999995</v>
      </c>
      <c r="AY39" s="25">
        <f t="shared" si="33"/>
        <v>90420000</v>
      </c>
      <c r="AZ39" s="25">
        <f t="shared" si="34"/>
        <v>0</v>
      </c>
      <c r="BA39" s="25">
        <f t="shared" si="34"/>
        <v>0</v>
      </c>
      <c r="BB39" s="25">
        <f t="shared" si="34"/>
        <v>0</v>
      </c>
      <c r="BC39" s="25">
        <f t="shared" si="48"/>
        <v>0</v>
      </c>
      <c r="BD39" s="25">
        <f t="shared" si="48"/>
        <v>0</v>
      </c>
      <c r="BE39" s="25">
        <f t="shared" si="48"/>
        <v>0</v>
      </c>
      <c r="BF39" s="25">
        <f t="shared" si="48"/>
        <v>0</v>
      </c>
      <c r="BG39" s="25">
        <f t="shared" si="48"/>
        <v>0</v>
      </c>
      <c r="BH39" s="25">
        <f t="shared" si="48"/>
        <v>0</v>
      </c>
      <c r="BI39" s="25">
        <f t="shared" si="48"/>
        <v>0</v>
      </c>
      <c r="BJ39" s="25">
        <f t="shared" si="48"/>
        <v>0</v>
      </c>
      <c r="BK39" s="25">
        <f t="shared" si="48"/>
        <v>0</v>
      </c>
      <c r="BL39" s="25">
        <f t="shared" si="48"/>
        <v>0</v>
      </c>
      <c r="BM39" s="25">
        <f t="shared" si="48"/>
        <v>0</v>
      </c>
      <c r="BN39" s="25">
        <f t="shared" si="48"/>
        <v>0</v>
      </c>
      <c r="BO39" s="25"/>
      <c r="BP39" s="25"/>
      <c r="BQ39" s="25">
        <f t="shared" si="49"/>
        <v>90420000</v>
      </c>
      <c r="BR39" s="25">
        <f t="shared" si="50"/>
        <v>0</v>
      </c>
      <c r="BS39" s="27">
        <f t="shared" si="10"/>
        <v>0.54790000000000005</v>
      </c>
      <c r="BT39" s="25">
        <f t="shared" si="37"/>
        <v>109580000</v>
      </c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>
        <f>+'[2]MARZO 2016 ULTIMO'!$H$622</f>
        <v>100000000</v>
      </c>
      <c r="CH39" s="25"/>
      <c r="CI39" s="25"/>
      <c r="CJ39" s="25"/>
      <c r="CK39" s="25"/>
      <c r="CL39" s="25"/>
      <c r="CM39" s="25">
        <f>+'[7]JUNIO 2016'!$AF$1063</f>
        <v>9580000</v>
      </c>
      <c r="CN39" s="25"/>
      <c r="CO39" s="27">
        <f t="shared" si="12"/>
        <v>0.45209999999999995</v>
      </c>
      <c r="CP39" s="25">
        <f t="shared" si="38"/>
        <v>90420000</v>
      </c>
      <c r="CQ39" s="25">
        <f t="shared" si="39"/>
        <v>0</v>
      </c>
      <c r="CR39" s="25">
        <f t="shared" si="39"/>
        <v>0</v>
      </c>
      <c r="CS39" s="25">
        <f t="shared" si="39"/>
        <v>0</v>
      </c>
      <c r="CT39" s="25">
        <f t="shared" si="39"/>
        <v>0</v>
      </c>
      <c r="CU39" s="25">
        <f t="shared" si="39"/>
        <v>0</v>
      </c>
      <c r="CV39" s="25">
        <f t="shared" si="39"/>
        <v>0</v>
      </c>
      <c r="CW39" s="25">
        <f t="shared" si="51"/>
        <v>0</v>
      </c>
      <c r="CX39" s="25">
        <f t="shared" si="51"/>
        <v>0</v>
      </c>
      <c r="CY39" s="25">
        <f t="shared" si="51"/>
        <v>0</v>
      </c>
      <c r="CZ39" s="25">
        <f t="shared" si="41"/>
        <v>0</v>
      </c>
      <c r="DA39" s="25">
        <f t="shared" si="41"/>
        <v>0</v>
      </c>
      <c r="DB39" s="25">
        <f t="shared" si="41"/>
        <v>0</v>
      </c>
      <c r="DC39" s="25">
        <f t="shared" si="52"/>
        <v>0</v>
      </c>
      <c r="DD39" s="25">
        <f t="shared" si="52"/>
        <v>0</v>
      </c>
      <c r="DE39" s="25">
        <f t="shared" si="52"/>
        <v>0</v>
      </c>
      <c r="DF39" s="25"/>
      <c r="DG39" s="25">
        <f t="shared" si="53"/>
        <v>0</v>
      </c>
      <c r="DH39" s="25">
        <f t="shared" si="46"/>
        <v>90420000</v>
      </c>
      <c r="DI39" s="25">
        <f t="shared" si="54"/>
        <v>0</v>
      </c>
      <c r="DK39" s="78"/>
      <c r="DL39" s="78"/>
      <c r="DM39" s="276">
        <f t="shared" si="44"/>
        <v>200000000</v>
      </c>
      <c r="DN39" s="277">
        <f t="shared" si="45"/>
        <v>109580000</v>
      </c>
      <c r="DO39" s="78"/>
    </row>
    <row r="40" spans="1:119" ht="33.75" hidden="1" customHeight="1" x14ac:dyDescent="0.25">
      <c r="A40" s="193"/>
      <c r="B40" s="188"/>
      <c r="C40" s="21" t="s">
        <v>137</v>
      </c>
      <c r="D40" s="22" t="s">
        <v>138</v>
      </c>
      <c r="E40" s="23">
        <v>410</v>
      </c>
      <c r="F40" s="24" t="s">
        <v>76</v>
      </c>
      <c r="G40" s="25">
        <f t="shared" si="31"/>
        <v>0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56"/>
      <c r="Z40" s="56">
        <f>5000000-5000000</f>
        <v>0</v>
      </c>
      <c r="AB40" s="27" t="e">
        <f t="shared" si="1"/>
        <v>#DIV/0!</v>
      </c>
      <c r="AC40" s="25">
        <f t="shared" si="32"/>
        <v>0</v>
      </c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7" t="e">
        <f t="shared" si="3"/>
        <v>#DIV/0!</v>
      </c>
      <c r="AY40" s="25">
        <f t="shared" si="33"/>
        <v>0</v>
      </c>
      <c r="AZ40" s="25">
        <f t="shared" si="34"/>
        <v>0</v>
      </c>
      <c r="BA40" s="25">
        <f t="shared" si="34"/>
        <v>0</v>
      </c>
      <c r="BB40" s="25">
        <f t="shared" si="34"/>
        <v>0</v>
      </c>
      <c r="BC40" s="25">
        <f t="shared" si="48"/>
        <v>0</v>
      </c>
      <c r="BD40" s="25">
        <f t="shared" si="48"/>
        <v>0</v>
      </c>
      <c r="BE40" s="25">
        <f t="shared" si="48"/>
        <v>0</v>
      </c>
      <c r="BF40" s="25">
        <f t="shared" si="48"/>
        <v>0</v>
      </c>
      <c r="BG40" s="25">
        <f t="shared" si="48"/>
        <v>0</v>
      </c>
      <c r="BH40" s="25">
        <f t="shared" si="48"/>
        <v>0</v>
      </c>
      <c r="BI40" s="25">
        <f t="shared" si="48"/>
        <v>0</v>
      </c>
      <c r="BJ40" s="25">
        <f t="shared" si="48"/>
        <v>0</v>
      </c>
      <c r="BK40" s="25">
        <f t="shared" si="48"/>
        <v>0</v>
      </c>
      <c r="BL40" s="25">
        <f t="shared" si="48"/>
        <v>0</v>
      </c>
      <c r="BM40" s="25">
        <f t="shared" si="48"/>
        <v>0</v>
      </c>
      <c r="BN40" s="25">
        <f t="shared" si="48"/>
        <v>0</v>
      </c>
      <c r="BO40" s="25"/>
      <c r="BP40" s="25"/>
      <c r="BQ40" s="25">
        <f t="shared" si="49"/>
        <v>0</v>
      </c>
      <c r="BR40" s="25">
        <f t="shared" si="50"/>
        <v>0</v>
      </c>
      <c r="BS40" s="27" t="e">
        <f t="shared" si="10"/>
        <v>#DIV/0!</v>
      </c>
      <c r="BT40" s="25">
        <f t="shared" si="37"/>
        <v>0</v>
      </c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7" t="e">
        <f t="shared" si="12"/>
        <v>#DIV/0!</v>
      </c>
      <c r="CP40" s="25">
        <f t="shared" si="38"/>
        <v>0</v>
      </c>
      <c r="CQ40" s="25">
        <f t="shared" si="39"/>
        <v>0</v>
      </c>
      <c r="CR40" s="25">
        <f t="shared" si="39"/>
        <v>0</v>
      </c>
      <c r="CS40" s="25">
        <f t="shared" si="39"/>
        <v>0</v>
      </c>
      <c r="CT40" s="25">
        <f t="shared" si="39"/>
        <v>0</v>
      </c>
      <c r="CU40" s="25">
        <f t="shared" si="39"/>
        <v>0</v>
      </c>
      <c r="CV40" s="25">
        <f t="shared" si="39"/>
        <v>0</v>
      </c>
      <c r="CW40" s="25">
        <f t="shared" si="51"/>
        <v>0</v>
      </c>
      <c r="CX40" s="25">
        <f t="shared" si="51"/>
        <v>0</v>
      </c>
      <c r="CY40" s="25">
        <f t="shared" si="51"/>
        <v>0</v>
      </c>
      <c r="CZ40" s="25">
        <f t="shared" si="41"/>
        <v>0</v>
      </c>
      <c r="DA40" s="25">
        <f t="shared" si="41"/>
        <v>0</v>
      </c>
      <c r="DB40" s="25">
        <f t="shared" si="41"/>
        <v>0</v>
      </c>
      <c r="DC40" s="25">
        <f t="shared" si="52"/>
        <v>0</v>
      </c>
      <c r="DD40" s="25">
        <f t="shared" si="52"/>
        <v>0</v>
      </c>
      <c r="DE40" s="25">
        <f t="shared" si="52"/>
        <v>0</v>
      </c>
      <c r="DF40" s="25"/>
      <c r="DG40" s="25">
        <f t="shared" si="53"/>
        <v>0</v>
      </c>
      <c r="DH40" s="25">
        <f t="shared" si="46"/>
        <v>0</v>
      </c>
      <c r="DI40" s="25">
        <f t="shared" si="54"/>
        <v>0</v>
      </c>
      <c r="DK40" s="78"/>
      <c r="DL40" s="78"/>
      <c r="DM40" s="276">
        <f t="shared" si="44"/>
        <v>0</v>
      </c>
      <c r="DN40" s="277">
        <f t="shared" si="45"/>
        <v>0</v>
      </c>
      <c r="DO40" s="78"/>
    </row>
    <row r="41" spans="1:119" ht="21.75" hidden="1" customHeight="1" x14ac:dyDescent="0.25">
      <c r="A41" s="193"/>
      <c r="B41" s="186" t="s">
        <v>139</v>
      </c>
      <c r="C41" s="21" t="s">
        <v>140</v>
      </c>
      <c r="D41" s="22" t="s">
        <v>141</v>
      </c>
      <c r="E41" s="23">
        <v>410</v>
      </c>
      <c r="F41" s="24" t="s">
        <v>91</v>
      </c>
      <c r="G41" s="25">
        <f t="shared" si="31"/>
        <v>1802332849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>
        <f>1300000000+44000000-44000000+488711643+13621206</f>
        <v>1802332849</v>
      </c>
      <c r="S41" s="25"/>
      <c r="T41" s="25"/>
      <c r="U41" s="25"/>
      <c r="V41" s="25"/>
      <c r="W41" s="25"/>
      <c r="X41" s="25"/>
      <c r="Y41" s="56"/>
      <c r="Z41" s="56"/>
      <c r="AB41" s="27">
        <f t="shared" si="1"/>
        <v>0.97820850403864557</v>
      </c>
      <c r="AC41" s="25">
        <f t="shared" si="32"/>
        <v>1763057320</v>
      </c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>
        <f>+'[1]AGOSTO 2016'!$V$1459</f>
        <v>1763057320</v>
      </c>
      <c r="AP41" s="25"/>
      <c r="AQ41" s="25"/>
      <c r="AR41" s="25"/>
      <c r="AS41" s="25"/>
      <c r="AT41" s="25"/>
      <c r="AU41" s="25"/>
      <c r="AV41" s="25"/>
      <c r="AW41" s="25"/>
      <c r="AX41" s="27">
        <f t="shared" si="3"/>
        <v>2.1791495961354435E-2</v>
      </c>
      <c r="AY41" s="25">
        <f t="shared" si="33"/>
        <v>39275529</v>
      </c>
      <c r="AZ41" s="25">
        <f t="shared" si="34"/>
        <v>0</v>
      </c>
      <c r="BA41" s="25">
        <f t="shared" si="34"/>
        <v>0</v>
      </c>
      <c r="BB41" s="25">
        <f t="shared" si="34"/>
        <v>0</v>
      </c>
      <c r="BC41" s="25">
        <f t="shared" si="48"/>
        <v>0</v>
      </c>
      <c r="BD41" s="25">
        <f t="shared" si="48"/>
        <v>0</v>
      </c>
      <c r="BE41" s="25">
        <f t="shared" si="48"/>
        <v>0</v>
      </c>
      <c r="BF41" s="25">
        <f t="shared" si="48"/>
        <v>0</v>
      </c>
      <c r="BG41" s="25">
        <f t="shared" si="48"/>
        <v>0</v>
      </c>
      <c r="BH41" s="25">
        <f t="shared" si="48"/>
        <v>0</v>
      </c>
      <c r="BI41" s="25">
        <f t="shared" si="48"/>
        <v>0</v>
      </c>
      <c r="BJ41" s="25">
        <f t="shared" si="48"/>
        <v>39275529</v>
      </c>
      <c r="BK41" s="25">
        <f t="shared" si="48"/>
        <v>0</v>
      </c>
      <c r="BL41" s="25">
        <f t="shared" si="48"/>
        <v>0</v>
      </c>
      <c r="BM41" s="25">
        <f t="shared" si="48"/>
        <v>0</v>
      </c>
      <c r="BN41" s="25">
        <f t="shared" si="48"/>
        <v>0</v>
      </c>
      <c r="BO41" s="25"/>
      <c r="BP41" s="25">
        <f>+X41-AU41</f>
        <v>0</v>
      </c>
      <c r="BQ41" s="25">
        <f t="shared" si="49"/>
        <v>0</v>
      </c>
      <c r="BR41" s="25">
        <f t="shared" si="50"/>
        <v>0</v>
      </c>
      <c r="BS41" s="27">
        <f t="shared" si="10"/>
        <v>0.60224524487929365</v>
      </c>
      <c r="BT41" s="25">
        <f t="shared" si="37"/>
        <v>1085446388</v>
      </c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>
        <f>+'[1]AGOSTO 2016'!$H$1457</f>
        <v>1085446388</v>
      </c>
      <c r="CG41" s="25"/>
      <c r="CH41" s="25"/>
      <c r="CI41" s="25"/>
      <c r="CJ41" s="25"/>
      <c r="CK41" s="25"/>
      <c r="CL41" s="25"/>
      <c r="CM41" s="25"/>
      <c r="CN41" s="25"/>
      <c r="CO41" s="27">
        <f t="shared" si="12"/>
        <v>0.39775475512070635</v>
      </c>
      <c r="CP41" s="25">
        <f t="shared" si="38"/>
        <v>716886461</v>
      </c>
      <c r="CQ41" s="25">
        <f t="shared" si="39"/>
        <v>0</v>
      </c>
      <c r="CR41" s="25">
        <f t="shared" si="39"/>
        <v>0</v>
      </c>
      <c r="CS41" s="25">
        <f t="shared" si="39"/>
        <v>0</v>
      </c>
      <c r="CT41" s="25">
        <f t="shared" si="39"/>
        <v>0</v>
      </c>
      <c r="CU41" s="25">
        <f t="shared" si="39"/>
        <v>0</v>
      </c>
      <c r="CV41" s="25">
        <f t="shared" si="39"/>
        <v>0</v>
      </c>
      <c r="CW41" s="25">
        <f t="shared" si="51"/>
        <v>0</v>
      </c>
      <c r="CX41" s="25">
        <f t="shared" si="51"/>
        <v>0</v>
      </c>
      <c r="CY41" s="25">
        <f t="shared" si="51"/>
        <v>0</v>
      </c>
      <c r="CZ41" s="25">
        <f t="shared" si="41"/>
        <v>0</v>
      </c>
      <c r="DA41" s="25">
        <f t="shared" si="41"/>
        <v>716886461</v>
      </c>
      <c r="DB41" s="25">
        <f t="shared" si="41"/>
        <v>0</v>
      </c>
      <c r="DC41" s="25">
        <f t="shared" si="52"/>
        <v>0</v>
      </c>
      <c r="DD41" s="25">
        <f t="shared" si="52"/>
        <v>0</v>
      </c>
      <c r="DE41" s="25">
        <f t="shared" si="52"/>
        <v>0</v>
      </c>
      <c r="DF41" s="25"/>
      <c r="DG41" s="25">
        <f t="shared" si="53"/>
        <v>0</v>
      </c>
      <c r="DH41" s="25">
        <f t="shared" si="46"/>
        <v>0</v>
      </c>
      <c r="DI41" s="25">
        <f t="shared" si="54"/>
        <v>0</v>
      </c>
      <c r="DK41" s="78"/>
      <c r="DL41" s="78"/>
      <c r="DM41" s="276">
        <f t="shared" si="44"/>
        <v>1802332849</v>
      </c>
      <c r="DN41" s="277">
        <f t="shared" si="45"/>
        <v>1085446388</v>
      </c>
      <c r="DO41" s="78"/>
    </row>
    <row r="42" spans="1:119" ht="35.25" hidden="1" customHeight="1" x14ac:dyDescent="0.25">
      <c r="A42" s="193"/>
      <c r="B42" s="187"/>
      <c r="C42" s="21" t="s">
        <v>142</v>
      </c>
      <c r="D42" s="22" t="s">
        <v>143</v>
      </c>
      <c r="E42" s="23">
        <v>410</v>
      </c>
      <c r="F42" s="24" t="s">
        <v>91</v>
      </c>
      <c r="G42" s="25">
        <f t="shared" si="31"/>
        <v>96094870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>
        <f>50000000+3094870+20000000+23000000</f>
        <v>96094870</v>
      </c>
      <c r="V42" s="25"/>
      <c r="W42" s="25"/>
      <c r="X42" s="25"/>
      <c r="Y42" s="56"/>
      <c r="Z42" s="56"/>
      <c r="AB42" s="27">
        <f t="shared" si="1"/>
        <v>0.81574458657366411</v>
      </c>
      <c r="AC42" s="25">
        <f t="shared" si="32"/>
        <v>78388870</v>
      </c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>
        <f>+'[7]JUNIO 2016'!$Y$1217</f>
        <v>78388870</v>
      </c>
      <c r="AS42" s="25"/>
      <c r="AT42" s="25"/>
      <c r="AU42" s="25"/>
      <c r="AV42" s="25"/>
      <c r="AW42" s="25"/>
      <c r="AX42" s="27">
        <f t="shared" si="3"/>
        <v>0.18425541342633589</v>
      </c>
      <c r="AY42" s="25">
        <f t="shared" si="33"/>
        <v>17706000</v>
      </c>
      <c r="AZ42" s="25">
        <f t="shared" si="34"/>
        <v>0</v>
      </c>
      <c r="BA42" s="25">
        <f t="shared" si="34"/>
        <v>0</v>
      </c>
      <c r="BB42" s="25">
        <f t="shared" si="34"/>
        <v>0</v>
      </c>
      <c r="BC42" s="25">
        <f t="shared" si="48"/>
        <v>0</v>
      </c>
      <c r="BD42" s="25">
        <f t="shared" si="48"/>
        <v>0</v>
      </c>
      <c r="BE42" s="25">
        <f t="shared" si="48"/>
        <v>0</v>
      </c>
      <c r="BF42" s="25">
        <f t="shared" si="48"/>
        <v>0</v>
      </c>
      <c r="BG42" s="25">
        <f>+O42-AM42</f>
        <v>0</v>
      </c>
      <c r="BH42" s="25">
        <f>+P42-AN42</f>
        <v>0</v>
      </c>
      <c r="BI42" s="25">
        <f t="shared" si="48"/>
        <v>0</v>
      </c>
      <c r="BJ42" s="25">
        <f t="shared" si="48"/>
        <v>0</v>
      </c>
      <c r="BK42" s="25">
        <f t="shared" si="48"/>
        <v>0</v>
      </c>
      <c r="BL42" s="25">
        <f t="shared" si="48"/>
        <v>0</v>
      </c>
      <c r="BM42" s="25">
        <f t="shared" si="48"/>
        <v>17706000</v>
      </c>
      <c r="BN42" s="25">
        <f t="shared" si="48"/>
        <v>0</v>
      </c>
      <c r="BO42" s="25"/>
      <c r="BP42" s="25">
        <f>+X42-AU42</f>
        <v>0</v>
      </c>
      <c r="BQ42" s="25">
        <f t="shared" si="49"/>
        <v>0</v>
      </c>
      <c r="BR42" s="25">
        <f t="shared" si="50"/>
        <v>0</v>
      </c>
      <c r="BS42" s="27">
        <f t="shared" si="10"/>
        <v>0.74003816228691499</v>
      </c>
      <c r="BT42" s="25">
        <f t="shared" si="37"/>
        <v>71113871</v>
      </c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>
        <f>+'[1]AGOSTO 2016'!$H$1918</f>
        <v>71113871</v>
      </c>
      <c r="CJ42" s="25"/>
      <c r="CK42" s="25"/>
      <c r="CL42" s="25"/>
      <c r="CM42" s="25"/>
      <c r="CN42" s="25"/>
      <c r="CO42" s="27">
        <f t="shared" si="12"/>
        <v>0.25996183771308501</v>
      </c>
      <c r="CP42" s="25">
        <f t="shared" si="38"/>
        <v>24980999</v>
      </c>
      <c r="CQ42" s="25">
        <f t="shared" si="39"/>
        <v>0</v>
      </c>
      <c r="CR42" s="25">
        <f t="shared" si="39"/>
        <v>0</v>
      </c>
      <c r="CS42" s="25">
        <f t="shared" si="39"/>
        <v>0</v>
      </c>
      <c r="CT42" s="25">
        <f t="shared" si="39"/>
        <v>0</v>
      </c>
      <c r="CU42" s="25">
        <f t="shared" si="39"/>
        <v>0</v>
      </c>
      <c r="CV42" s="25">
        <f t="shared" si="39"/>
        <v>0</v>
      </c>
      <c r="CW42" s="25">
        <f t="shared" si="51"/>
        <v>0</v>
      </c>
      <c r="CX42" s="25">
        <f t="shared" si="51"/>
        <v>0</v>
      </c>
      <c r="CY42" s="25">
        <f t="shared" si="51"/>
        <v>0</v>
      </c>
      <c r="CZ42" s="25">
        <f t="shared" si="41"/>
        <v>0</v>
      </c>
      <c r="DA42" s="25">
        <f t="shared" si="41"/>
        <v>0</v>
      </c>
      <c r="DB42" s="25">
        <f t="shared" si="41"/>
        <v>0</v>
      </c>
      <c r="DC42" s="25">
        <f t="shared" si="52"/>
        <v>0</v>
      </c>
      <c r="DD42" s="25">
        <f t="shared" si="52"/>
        <v>24980999</v>
      </c>
      <c r="DE42" s="25">
        <f t="shared" si="52"/>
        <v>0</v>
      </c>
      <c r="DF42" s="25"/>
      <c r="DG42" s="25">
        <f t="shared" si="53"/>
        <v>0</v>
      </c>
      <c r="DH42" s="25">
        <f t="shared" si="46"/>
        <v>0</v>
      </c>
      <c r="DI42" s="25">
        <f t="shared" si="54"/>
        <v>0</v>
      </c>
      <c r="DK42" s="78"/>
      <c r="DL42" s="78"/>
      <c r="DM42" s="276">
        <f t="shared" si="44"/>
        <v>96094870</v>
      </c>
      <c r="DN42" s="277">
        <f t="shared" si="45"/>
        <v>71113871</v>
      </c>
      <c r="DO42" s="78"/>
    </row>
    <row r="43" spans="1:119" ht="18.75" hidden="1" customHeight="1" x14ac:dyDescent="0.25">
      <c r="A43" s="193"/>
      <c r="B43" s="188"/>
      <c r="C43" s="21" t="s">
        <v>144</v>
      </c>
      <c r="D43" s="22" t="s">
        <v>145</v>
      </c>
      <c r="E43" s="23">
        <v>410</v>
      </c>
      <c r="F43" s="24" t="s">
        <v>91</v>
      </c>
      <c r="G43" s="25">
        <f t="shared" si="31"/>
        <v>22111130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>
        <f>20000000-3094870+5206000</f>
        <v>22111130</v>
      </c>
      <c r="V43" s="25"/>
      <c r="W43" s="25"/>
      <c r="X43" s="25"/>
      <c r="Y43" s="56"/>
      <c r="Z43" s="56"/>
      <c r="AB43" s="27">
        <f t="shared" si="1"/>
        <v>0.76455296495475356</v>
      </c>
      <c r="AC43" s="25">
        <f t="shared" si="32"/>
        <v>16905130</v>
      </c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>
        <f>+'[2]MARZO 2016 ULTIMO'!$Y$724</f>
        <v>16905130</v>
      </c>
      <c r="AS43" s="25"/>
      <c r="AT43" s="25"/>
      <c r="AU43" s="25"/>
      <c r="AV43" s="25"/>
      <c r="AW43" s="25"/>
      <c r="AX43" s="27">
        <f t="shared" si="3"/>
        <v>0.23544703504524644</v>
      </c>
      <c r="AY43" s="25">
        <f t="shared" si="33"/>
        <v>5206000</v>
      </c>
      <c r="AZ43" s="25">
        <f t="shared" si="34"/>
        <v>0</v>
      </c>
      <c r="BA43" s="25">
        <f t="shared" si="34"/>
        <v>0</v>
      </c>
      <c r="BB43" s="25">
        <f t="shared" si="34"/>
        <v>0</v>
      </c>
      <c r="BC43" s="25">
        <f t="shared" si="48"/>
        <v>0</v>
      </c>
      <c r="BD43" s="25">
        <f t="shared" si="48"/>
        <v>0</v>
      </c>
      <c r="BE43" s="25">
        <f t="shared" si="48"/>
        <v>0</v>
      </c>
      <c r="BF43" s="25">
        <f t="shared" si="48"/>
        <v>0</v>
      </c>
      <c r="BG43" s="25">
        <f>+O43-AM43</f>
        <v>0</v>
      </c>
      <c r="BH43" s="25">
        <f>+P43-AN43</f>
        <v>0</v>
      </c>
      <c r="BI43" s="25">
        <f t="shared" si="48"/>
        <v>0</v>
      </c>
      <c r="BJ43" s="25">
        <f t="shared" si="48"/>
        <v>0</v>
      </c>
      <c r="BK43" s="25">
        <f t="shared" si="48"/>
        <v>0</v>
      </c>
      <c r="BL43" s="25"/>
      <c r="BM43" s="25">
        <f t="shared" si="48"/>
        <v>5206000</v>
      </c>
      <c r="BN43" s="25">
        <f t="shared" si="48"/>
        <v>0</v>
      </c>
      <c r="BO43" s="25"/>
      <c r="BP43" s="25"/>
      <c r="BQ43" s="25">
        <f t="shared" si="49"/>
        <v>0</v>
      </c>
      <c r="BR43" s="25">
        <f t="shared" si="50"/>
        <v>0</v>
      </c>
      <c r="BS43" s="27">
        <f t="shared" si="10"/>
        <v>0.76455296495475356</v>
      </c>
      <c r="BT43" s="25">
        <f t="shared" si="37"/>
        <v>16905130</v>
      </c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>
        <f>+'[3]ABRIL 2016'!$H$929</f>
        <v>16905130</v>
      </c>
      <c r="CJ43" s="25"/>
      <c r="CK43" s="25"/>
      <c r="CL43" s="25"/>
      <c r="CM43" s="25"/>
      <c r="CN43" s="25"/>
      <c r="CO43" s="27">
        <f t="shared" si="12"/>
        <v>0.23544703504524644</v>
      </c>
      <c r="CP43" s="25">
        <f t="shared" si="38"/>
        <v>5206000</v>
      </c>
      <c r="CQ43" s="25">
        <f t="shared" si="39"/>
        <v>0</v>
      </c>
      <c r="CR43" s="25">
        <f t="shared" si="39"/>
        <v>0</v>
      </c>
      <c r="CS43" s="25">
        <f t="shared" si="39"/>
        <v>0</v>
      </c>
      <c r="CT43" s="25">
        <f t="shared" si="39"/>
        <v>0</v>
      </c>
      <c r="CU43" s="25">
        <f t="shared" si="39"/>
        <v>0</v>
      </c>
      <c r="CV43" s="25">
        <f t="shared" si="39"/>
        <v>0</v>
      </c>
      <c r="CW43" s="25">
        <f t="shared" si="51"/>
        <v>0</v>
      </c>
      <c r="CX43" s="25">
        <f t="shared" si="51"/>
        <v>0</v>
      </c>
      <c r="CY43" s="25">
        <f t="shared" si="51"/>
        <v>0</v>
      </c>
      <c r="CZ43" s="25">
        <f t="shared" si="41"/>
        <v>0</v>
      </c>
      <c r="DA43" s="25">
        <f t="shared" si="41"/>
        <v>0</v>
      </c>
      <c r="DB43" s="25">
        <f t="shared" si="41"/>
        <v>0</v>
      </c>
      <c r="DC43" s="25">
        <f t="shared" si="52"/>
        <v>0</v>
      </c>
      <c r="DD43" s="25">
        <f t="shared" si="52"/>
        <v>5206000</v>
      </c>
      <c r="DE43" s="25">
        <f t="shared" si="52"/>
        <v>0</v>
      </c>
      <c r="DF43" s="25"/>
      <c r="DG43" s="25">
        <f t="shared" si="53"/>
        <v>0</v>
      </c>
      <c r="DH43" s="25">
        <f t="shared" si="46"/>
        <v>0</v>
      </c>
      <c r="DI43" s="25">
        <f t="shared" si="54"/>
        <v>0</v>
      </c>
      <c r="DK43" s="78"/>
      <c r="DL43" s="78"/>
      <c r="DM43" s="276">
        <f t="shared" si="44"/>
        <v>22111130</v>
      </c>
      <c r="DN43" s="277">
        <f t="shared" si="45"/>
        <v>16905130</v>
      </c>
      <c r="DO43" s="78"/>
    </row>
    <row r="44" spans="1:119" ht="30.75" hidden="1" customHeight="1" x14ac:dyDescent="0.25">
      <c r="A44" s="193"/>
      <c r="B44" s="186" t="s">
        <v>146</v>
      </c>
      <c r="C44" s="21" t="s">
        <v>147</v>
      </c>
      <c r="D44" s="22" t="s">
        <v>148</v>
      </c>
      <c r="E44" s="23">
        <v>410</v>
      </c>
      <c r="F44" s="24" t="s">
        <v>91</v>
      </c>
      <c r="G44" s="25">
        <f t="shared" si="31"/>
        <v>20000000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>
        <v>20000000</v>
      </c>
      <c r="V44" s="25"/>
      <c r="W44" s="25"/>
      <c r="X44" s="25"/>
      <c r="Y44" s="56"/>
      <c r="Z44" s="56"/>
      <c r="AB44" s="27">
        <f t="shared" si="1"/>
        <v>1</v>
      </c>
      <c r="AC44" s="25">
        <f t="shared" si="32"/>
        <v>20000000</v>
      </c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>
        <f>+'[4]ENERO 2016'!$Y$406</f>
        <v>20000000</v>
      </c>
      <c r="AS44" s="25"/>
      <c r="AT44" s="25"/>
      <c r="AU44" s="25"/>
      <c r="AV44" s="25"/>
      <c r="AW44" s="25"/>
      <c r="AX44" s="27">
        <f t="shared" si="3"/>
        <v>0</v>
      </c>
      <c r="AY44" s="25">
        <f t="shared" si="33"/>
        <v>0</v>
      </c>
      <c r="AZ44" s="25">
        <f t="shared" si="34"/>
        <v>0</v>
      </c>
      <c r="BA44" s="25">
        <f t="shared" si="34"/>
        <v>0</v>
      </c>
      <c r="BB44" s="25">
        <f t="shared" si="34"/>
        <v>0</v>
      </c>
      <c r="BC44" s="25">
        <f t="shared" si="48"/>
        <v>0</v>
      </c>
      <c r="BD44" s="25">
        <f t="shared" si="48"/>
        <v>0</v>
      </c>
      <c r="BE44" s="25">
        <f t="shared" si="48"/>
        <v>0</v>
      </c>
      <c r="BF44" s="25">
        <f t="shared" si="48"/>
        <v>0</v>
      </c>
      <c r="BG44" s="25">
        <f t="shared" si="48"/>
        <v>0</v>
      </c>
      <c r="BH44" s="25">
        <f t="shared" ref="BH44:BH57" si="55">+P44-AN44</f>
        <v>0</v>
      </c>
      <c r="BI44" s="25">
        <f t="shared" si="48"/>
        <v>0</v>
      </c>
      <c r="BJ44" s="25">
        <f t="shared" si="48"/>
        <v>0</v>
      </c>
      <c r="BK44" s="25">
        <f t="shared" si="48"/>
        <v>0</v>
      </c>
      <c r="BL44" s="25">
        <f>+T44-AQ44</f>
        <v>0</v>
      </c>
      <c r="BM44" s="25">
        <f t="shared" si="48"/>
        <v>0</v>
      </c>
      <c r="BN44" s="25">
        <f t="shared" si="48"/>
        <v>0</v>
      </c>
      <c r="BO44" s="25"/>
      <c r="BP44" s="25">
        <f>+X44-AU44</f>
        <v>0</v>
      </c>
      <c r="BQ44" s="25">
        <f t="shared" si="49"/>
        <v>0</v>
      </c>
      <c r="BR44" s="25">
        <f t="shared" si="50"/>
        <v>0</v>
      </c>
      <c r="BS44" s="27">
        <f t="shared" si="10"/>
        <v>1</v>
      </c>
      <c r="BT44" s="25">
        <f t="shared" si="37"/>
        <v>20000000</v>
      </c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>
        <f>+'[6]JULIO 2016'!$H$1402</f>
        <v>20000000</v>
      </c>
      <c r="CJ44" s="25"/>
      <c r="CK44" s="25"/>
      <c r="CL44" s="25"/>
      <c r="CM44" s="25"/>
      <c r="CN44" s="25"/>
      <c r="CO44" s="27">
        <f t="shared" si="12"/>
        <v>0</v>
      </c>
      <c r="CP44" s="25">
        <f t="shared" si="38"/>
        <v>0</v>
      </c>
      <c r="CQ44" s="25">
        <f t="shared" si="39"/>
        <v>0</v>
      </c>
      <c r="CR44" s="25">
        <f t="shared" si="39"/>
        <v>0</v>
      </c>
      <c r="CS44" s="25">
        <f t="shared" si="39"/>
        <v>0</v>
      </c>
      <c r="CT44" s="25">
        <f t="shared" si="39"/>
        <v>0</v>
      </c>
      <c r="CU44" s="25">
        <f t="shared" si="39"/>
        <v>0</v>
      </c>
      <c r="CV44" s="25">
        <f t="shared" si="39"/>
        <v>0</v>
      </c>
      <c r="CW44" s="25">
        <f t="shared" si="51"/>
        <v>0</v>
      </c>
      <c r="CX44" s="25">
        <f t="shared" si="51"/>
        <v>0</v>
      </c>
      <c r="CY44" s="25">
        <f t="shared" si="51"/>
        <v>0</v>
      </c>
      <c r="CZ44" s="25">
        <f t="shared" si="41"/>
        <v>0</v>
      </c>
      <c r="DA44" s="25">
        <f t="shared" si="41"/>
        <v>0</v>
      </c>
      <c r="DB44" s="25">
        <f t="shared" si="41"/>
        <v>0</v>
      </c>
      <c r="DC44" s="25">
        <f t="shared" si="52"/>
        <v>0</v>
      </c>
      <c r="DD44" s="25">
        <f t="shared" si="52"/>
        <v>0</v>
      </c>
      <c r="DE44" s="25">
        <f t="shared" si="52"/>
        <v>0</v>
      </c>
      <c r="DF44" s="25"/>
      <c r="DG44" s="25">
        <f t="shared" si="53"/>
        <v>0</v>
      </c>
      <c r="DH44" s="25">
        <f t="shared" si="46"/>
        <v>0</v>
      </c>
      <c r="DI44" s="25">
        <f t="shared" si="54"/>
        <v>0</v>
      </c>
      <c r="DK44" s="78"/>
      <c r="DL44" s="78"/>
      <c r="DM44" s="276">
        <f t="shared" si="44"/>
        <v>20000000</v>
      </c>
      <c r="DN44" s="277">
        <f t="shared" si="45"/>
        <v>20000000</v>
      </c>
      <c r="DO44" s="78"/>
    </row>
    <row r="45" spans="1:119" ht="33.75" hidden="1" customHeight="1" x14ac:dyDescent="0.25">
      <c r="A45" s="193"/>
      <c r="B45" s="187"/>
      <c r="C45" s="21" t="s">
        <v>149</v>
      </c>
      <c r="D45" s="22" t="s">
        <v>150</v>
      </c>
      <c r="E45" s="23">
        <v>410</v>
      </c>
      <c r="F45" s="24" t="s">
        <v>91</v>
      </c>
      <c r="G45" s="25">
        <f t="shared" si="31"/>
        <v>10000000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>
        <v>10000000</v>
      </c>
      <c r="V45" s="25"/>
      <c r="W45" s="25"/>
      <c r="X45" s="25"/>
      <c r="Y45" s="56"/>
      <c r="Z45" s="56"/>
      <c r="AB45" s="27">
        <f t="shared" si="1"/>
        <v>0.92333399999999999</v>
      </c>
      <c r="AC45" s="25">
        <f t="shared" si="32"/>
        <v>9233340</v>
      </c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>
        <f>+'[8]MAYO 2016'!$G$1115</f>
        <v>9233340</v>
      </c>
      <c r="AS45" s="25"/>
      <c r="AT45" s="25"/>
      <c r="AU45" s="25"/>
      <c r="AV45" s="25"/>
      <c r="AW45" s="25"/>
      <c r="AX45" s="27">
        <f t="shared" si="3"/>
        <v>7.6666000000000012E-2</v>
      </c>
      <c r="AY45" s="25">
        <f t="shared" si="33"/>
        <v>766660</v>
      </c>
      <c r="AZ45" s="25">
        <f t="shared" si="34"/>
        <v>0</v>
      </c>
      <c r="BA45" s="25">
        <f t="shared" si="34"/>
        <v>0</v>
      </c>
      <c r="BB45" s="25">
        <f t="shared" si="34"/>
        <v>0</v>
      </c>
      <c r="BC45" s="25">
        <f t="shared" si="48"/>
        <v>0</v>
      </c>
      <c r="BD45" s="25">
        <f t="shared" si="48"/>
        <v>0</v>
      </c>
      <c r="BE45" s="25">
        <f t="shared" si="48"/>
        <v>0</v>
      </c>
      <c r="BF45" s="25">
        <f t="shared" si="48"/>
        <v>0</v>
      </c>
      <c r="BG45" s="25">
        <f t="shared" si="48"/>
        <v>0</v>
      </c>
      <c r="BH45" s="25">
        <f t="shared" si="55"/>
        <v>0</v>
      </c>
      <c r="BI45" s="25">
        <f t="shared" si="48"/>
        <v>0</v>
      </c>
      <c r="BJ45" s="25">
        <f t="shared" si="48"/>
        <v>0</v>
      </c>
      <c r="BK45" s="25">
        <f t="shared" si="48"/>
        <v>0</v>
      </c>
      <c r="BL45" s="25">
        <f>+T45-AQ45</f>
        <v>0</v>
      </c>
      <c r="BM45" s="25">
        <f t="shared" si="48"/>
        <v>766660</v>
      </c>
      <c r="BN45" s="25">
        <f t="shared" si="48"/>
        <v>0</v>
      </c>
      <c r="BO45" s="25"/>
      <c r="BP45" s="25"/>
      <c r="BQ45" s="25">
        <f t="shared" si="49"/>
        <v>0</v>
      </c>
      <c r="BR45" s="25">
        <f t="shared" si="50"/>
        <v>0</v>
      </c>
      <c r="BS45" s="27">
        <f t="shared" si="10"/>
        <v>0.92333399999999999</v>
      </c>
      <c r="BT45" s="25">
        <f t="shared" si="37"/>
        <v>9233340</v>
      </c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>
        <f>+'[8]MAYO 2016'!$H$1115</f>
        <v>9233340</v>
      </c>
      <c r="CJ45" s="25"/>
      <c r="CK45" s="25"/>
      <c r="CL45" s="25"/>
      <c r="CM45" s="25"/>
      <c r="CN45" s="25"/>
      <c r="CO45" s="27">
        <f t="shared" si="12"/>
        <v>7.6666000000000012E-2</v>
      </c>
      <c r="CP45" s="25">
        <f t="shared" si="38"/>
        <v>766660</v>
      </c>
      <c r="CQ45" s="25">
        <f t="shared" si="39"/>
        <v>0</v>
      </c>
      <c r="CR45" s="25">
        <f t="shared" si="39"/>
        <v>0</v>
      </c>
      <c r="CS45" s="25">
        <f t="shared" si="39"/>
        <v>0</v>
      </c>
      <c r="CT45" s="25">
        <f t="shared" si="39"/>
        <v>0</v>
      </c>
      <c r="CU45" s="25">
        <f t="shared" si="39"/>
        <v>0</v>
      </c>
      <c r="CV45" s="25">
        <f t="shared" si="39"/>
        <v>0</v>
      </c>
      <c r="CW45" s="25">
        <f t="shared" si="51"/>
        <v>0</v>
      </c>
      <c r="CX45" s="25">
        <f t="shared" si="51"/>
        <v>0</v>
      </c>
      <c r="CY45" s="25">
        <f t="shared" si="51"/>
        <v>0</v>
      </c>
      <c r="CZ45" s="25">
        <f t="shared" si="41"/>
        <v>0</v>
      </c>
      <c r="DA45" s="25">
        <f t="shared" si="41"/>
        <v>0</v>
      </c>
      <c r="DB45" s="25">
        <f t="shared" si="41"/>
        <v>0</v>
      </c>
      <c r="DC45" s="25">
        <f t="shared" si="52"/>
        <v>0</v>
      </c>
      <c r="DD45" s="25">
        <f t="shared" si="52"/>
        <v>766660</v>
      </c>
      <c r="DE45" s="25">
        <f t="shared" si="52"/>
        <v>0</v>
      </c>
      <c r="DF45" s="25"/>
      <c r="DG45" s="25">
        <f t="shared" si="53"/>
        <v>0</v>
      </c>
      <c r="DH45" s="25">
        <f t="shared" si="46"/>
        <v>0</v>
      </c>
      <c r="DI45" s="25">
        <f t="shared" si="54"/>
        <v>0</v>
      </c>
      <c r="DK45" s="78"/>
      <c r="DL45" s="78"/>
      <c r="DM45" s="276">
        <f t="shared" si="44"/>
        <v>10000000</v>
      </c>
      <c r="DN45" s="277">
        <f t="shared" si="45"/>
        <v>9233340</v>
      </c>
      <c r="DO45" s="78"/>
    </row>
    <row r="46" spans="1:119" ht="21.75" hidden="1" customHeight="1" x14ac:dyDescent="0.25">
      <c r="A46" s="193"/>
      <c r="B46" s="187"/>
      <c r="C46" s="21" t="s">
        <v>151</v>
      </c>
      <c r="D46" s="22" t="s">
        <v>152</v>
      </c>
      <c r="E46" s="23">
        <v>410</v>
      </c>
      <c r="F46" s="24" t="s">
        <v>91</v>
      </c>
      <c r="G46" s="25">
        <f t="shared" si="31"/>
        <v>20000000</v>
      </c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>
        <v>20000000</v>
      </c>
      <c r="V46" s="25"/>
      <c r="W46" s="25"/>
      <c r="X46" s="25"/>
      <c r="Y46" s="56"/>
      <c r="Z46" s="56"/>
      <c r="AB46" s="27">
        <f t="shared" si="1"/>
        <v>0.99988060000000001</v>
      </c>
      <c r="AC46" s="25">
        <f t="shared" si="32"/>
        <v>19997612</v>
      </c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>
        <f>+'[1]AGOSTO 2016'!$Y$1965</f>
        <v>19997612</v>
      </c>
      <c r="AS46" s="25"/>
      <c r="AT46" s="25"/>
      <c r="AU46" s="25"/>
      <c r="AV46" s="25"/>
      <c r="AW46" s="25"/>
      <c r="AX46" s="27">
        <f t="shared" si="3"/>
        <v>1.1939999999999173E-4</v>
      </c>
      <c r="AY46" s="25">
        <f t="shared" si="33"/>
        <v>2388</v>
      </c>
      <c r="AZ46" s="25">
        <f t="shared" si="34"/>
        <v>0</v>
      </c>
      <c r="BA46" s="25">
        <f t="shared" si="34"/>
        <v>0</v>
      </c>
      <c r="BB46" s="25">
        <f t="shared" si="34"/>
        <v>0</v>
      </c>
      <c r="BC46" s="25">
        <f t="shared" si="48"/>
        <v>0</v>
      </c>
      <c r="BD46" s="25">
        <f t="shared" si="48"/>
        <v>0</v>
      </c>
      <c r="BE46" s="25">
        <f t="shared" si="48"/>
        <v>0</v>
      </c>
      <c r="BF46" s="25">
        <f t="shared" si="48"/>
        <v>0</v>
      </c>
      <c r="BG46" s="25">
        <f t="shared" si="48"/>
        <v>0</v>
      </c>
      <c r="BH46" s="25">
        <f t="shared" si="55"/>
        <v>0</v>
      </c>
      <c r="BI46" s="25">
        <f t="shared" si="48"/>
        <v>0</v>
      </c>
      <c r="BJ46" s="25">
        <f t="shared" si="48"/>
        <v>0</v>
      </c>
      <c r="BK46" s="25">
        <f t="shared" si="48"/>
        <v>0</v>
      </c>
      <c r="BL46" s="25"/>
      <c r="BM46" s="25">
        <f t="shared" si="48"/>
        <v>2388</v>
      </c>
      <c r="BN46" s="25">
        <f t="shared" si="48"/>
        <v>0</v>
      </c>
      <c r="BO46" s="25"/>
      <c r="BP46" s="25"/>
      <c r="BQ46" s="25">
        <f t="shared" si="49"/>
        <v>0</v>
      </c>
      <c r="BR46" s="25">
        <f t="shared" si="50"/>
        <v>0</v>
      </c>
      <c r="BS46" s="27">
        <f t="shared" si="10"/>
        <v>0</v>
      </c>
      <c r="BT46" s="25">
        <f t="shared" si="37"/>
        <v>0</v>
      </c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7">
        <f t="shared" si="12"/>
        <v>1</v>
      </c>
      <c r="CP46" s="25">
        <f t="shared" si="38"/>
        <v>20000000</v>
      </c>
      <c r="CQ46" s="25">
        <f t="shared" si="39"/>
        <v>0</v>
      </c>
      <c r="CR46" s="25">
        <f t="shared" si="39"/>
        <v>0</v>
      </c>
      <c r="CS46" s="25">
        <f t="shared" si="39"/>
        <v>0</v>
      </c>
      <c r="CT46" s="25">
        <f t="shared" si="39"/>
        <v>0</v>
      </c>
      <c r="CU46" s="25">
        <f t="shared" si="39"/>
        <v>0</v>
      </c>
      <c r="CV46" s="25">
        <f t="shared" si="39"/>
        <v>0</v>
      </c>
      <c r="CW46" s="25">
        <f t="shared" si="51"/>
        <v>0</v>
      </c>
      <c r="CX46" s="25">
        <f t="shared" si="51"/>
        <v>0</v>
      </c>
      <c r="CY46" s="25">
        <f t="shared" si="51"/>
        <v>0</v>
      </c>
      <c r="CZ46" s="25">
        <f t="shared" si="51"/>
        <v>0</v>
      </c>
      <c r="DA46" s="25">
        <f t="shared" si="51"/>
        <v>0</v>
      </c>
      <c r="DB46" s="25">
        <f t="shared" si="51"/>
        <v>0</v>
      </c>
      <c r="DC46" s="25">
        <f t="shared" si="52"/>
        <v>0</v>
      </c>
      <c r="DD46" s="25">
        <f t="shared" si="52"/>
        <v>20000000</v>
      </c>
      <c r="DE46" s="25">
        <f t="shared" si="52"/>
        <v>0</v>
      </c>
      <c r="DF46" s="25"/>
      <c r="DG46" s="25">
        <f t="shared" si="53"/>
        <v>0</v>
      </c>
      <c r="DH46" s="25">
        <f t="shared" ref="DH46:DH57" si="56">Y46-CM46</f>
        <v>0</v>
      </c>
      <c r="DI46" s="25">
        <f t="shared" si="54"/>
        <v>0</v>
      </c>
      <c r="DK46" s="78"/>
      <c r="DL46" s="78"/>
      <c r="DM46" s="276">
        <f t="shared" si="44"/>
        <v>20000000</v>
      </c>
      <c r="DN46" s="277">
        <f t="shared" si="45"/>
        <v>0</v>
      </c>
      <c r="DO46" s="78"/>
    </row>
    <row r="47" spans="1:119" ht="36" hidden="1" customHeight="1" x14ac:dyDescent="0.25">
      <c r="A47" s="193"/>
      <c r="B47" s="188"/>
      <c r="C47" s="21" t="s">
        <v>153</v>
      </c>
      <c r="D47" s="22" t="s">
        <v>154</v>
      </c>
      <c r="E47" s="23">
        <v>410</v>
      </c>
      <c r="F47" s="24" t="s">
        <v>91</v>
      </c>
      <c r="G47" s="25">
        <f t="shared" si="31"/>
        <v>13200000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>
        <v>10000000</v>
      </c>
      <c r="V47" s="25"/>
      <c r="W47" s="25"/>
      <c r="X47" s="25"/>
      <c r="Y47" s="56"/>
      <c r="Z47" s="56">
        <f>3200000</f>
        <v>3200000</v>
      </c>
      <c r="AB47" s="27">
        <f t="shared" si="1"/>
        <v>0.24087121212121212</v>
      </c>
      <c r="AC47" s="25">
        <f t="shared" si="32"/>
        <v>3179500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>
        <f>+'[3]ABRIL 2016'!$Y$961</f>
        <v>3179500</v>
      </c>
      <c r="AS47" s="25"/>
      <c r="AT47" s="25"/>
      <c r="AU47" s="25"/>
      <c r="AV47" s="25"/>
      <c r="AW47" s="25"/>
      <c r="AX47" s="27">
        <f t="shared" si="3"/>
        <v>0.7591287878787879</v>
      </c>
      <c r="AY47" s="25">
        <f t="shared" si="33"/>
        <v>10020500</v>
      </c>
      <c r="AZ47" s="25">
        <f t="shared" si="34"/>
        <v>0</v>
      </c>
      <c r="BA47" s="25">
        <f t="shared" si="34"/>
        <v>0</v>
      </c>
      <c r="BB47" s="25">
        <f t="shared" si="34"/>
        <v>0</v>
      </c>
      <c r="BC47" s="25">
        <f t="shared" si="48"/>
        <v>0</v>
      </c>
      <c r="BD47" s="25">
        <f t="shared" si="48"/>
        <v>0</v>
      </c>
      <c r="BE47" s="25">
        <f t="shared" si="48"/>
        <v>0</v>
      </c>
      <c r="BF47" s="25">
        <f t="shared" si="48"/>
        <v>0</v>
      </c>
      <c r="BG47" s="25">
        <f t="shared" si="48"/>
        <v>0</v>
      </c>
      <c r="BH47" s="25">
        <f t="shared" si="55"/>
        <v>0</v>
      </c>
      <c r="BI47" s="25">
        <f t="shared" si="48"/>
        <v>0</v>
      </c>
      <c r="BJ47" s="25">
        <f t="shared" si="48"/>
        <v>0</v>
      </c>
      <c r="BK47" s="25">
        <f t="shared" si="48"/>
        <v>0</v>
      </c>
      <c r="BL47" s="25"/>
      <c r="BM47" s="25">
        <f t="shared" si="48"/>
        <v>6820500</v>
      </c>
      <c r="BN47" s="25">
        <f t="shared" si="48"/>
        <v>0</v>
      </c>
      <c r="BO47" s="25"/>
      <c r="BP47" s="25"/>
      <c r="BQ47" s="25">
        <f t="shared" si="49"/>
        <v>0</v>
      </c>
      <c r="BR47" s="25">
        <f t="shared" si="50"/>
        <v>3200000</v>
      </c>
      <c r="BS47" s="27">
        <f t="shared" si="10"/>
        <v>0.24087121212121212</v>
      </c>
      <c r="BT47" s="25">
        <f t="shared" si="37"/>
        <v>3179500</v>
      </c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>
        <f>+'[3]ABRIL 2016'!$H$959</f>
        <v>3179500</v>
      </c>
      <c r="CJ47" s="25"/>
      <c r="CK47" s="25"/>
      <c r="CL47" s="25"/>
      <c r="CM47" s="25"/>
      <c r="CN47" s="25"/>
      <c r="CO47" s="27">
        <f t="shared" si="12"/>
        <v>0.7591287878787879</v>
      </c>
      <c r="CP47" s="25">
        <f t="shared" si="38"/>
        <v>10020500</v>
      </c>
      <c r="CQ47" s="25">
        <f t="shared" si="39"/>
        <v>0</v>
      </c>
      <c r="CR47" s="25">
        <f t="shared" si="39"/>
        <v>0</v>
      </c>
      <c r="CS47" s="25">
        <f t="shared" si="39"/>
        <v>0</v>
      </c>
      <c r="CT47" s="25">
        <f t="shared" si="39"/>
        <v>0</v>
      </c>
      <c r="CU47" s="25">
        <f t="shared" si="39"/>
        <v>0</v>
      </c>
      <c r="CV47" s="25">
        <f t="shared" si="39"/>
        <v>0</v>
      </c>
      <c r="CW47" s="25">
        <f t="shared" si="51"/>
        <v>0</v>
      </c>
      <c r="CX47" s="25">
        <f t="shared" si="51"/>
        <v>0</v>
      </c>
      <c r="CY47" s="25">
        <f t="shared" si="51"/>
        <v>0</v>
      </c>
      <c r="CZ47" s="25">
        <f t="shared" si="51"/>
        <v>0</v>
      </c>
      <c r="DA47" s="25">
        <f t="shared" si="51"/>
        <v>0</v>
      </c>
      <c r="DB47" s="25">
        <f t="shared" si="51"/>
        <v>0</v>
      </c>
      <c r="DC47" s="25">
        <f t="shared" si="52"/>
        <v>0</v>
      </c>
      <c r="DD47" s="25">
        <f t="shared" si="52"/>
        <v>6820500</v>
      </c>
      <c r="DE47" s="25">
        <f t="shared" si="52"/>
        <v>0</v>
      </c>
      <c r="DF47" s="25"/>
      <c r="DG47" s="25">
        <f t="shared" si="53"/>
        <v>0</v>
      </c>
      <c r="DH47" s="25">
        <f t="shared" si="56"/>
        <v>0</v>
      </c>
      <c r="DI47" s="25">
        <f t="shared" si="54"/>
        <v>3200000</v>
      </c>
      <c r="DK47" s="78"/>
      <c r="DL47" s="78"/>
      <c r="DM47" s="276">
        <f t="shared" si="44"/>
        <v>13200000</v>
      </c>
      <c r="DN47" s="277">
        <f t="shared" si="45"/>
        <v>3179500</v>
      </c>
      <c r="DO47" s="78"/>
    </row>
    <row r="48" spans="1:119" ht="24" hidden="1" customHeight="1" x14ac:dyDescent="0.25">
      <c r="A48" s="193" t="s">
        <v>87</v>
      </c>
      <c r="B48" s="186" t="s">
        <v>155</v>
      </c>
      <c r="C48" s="21" t="s">
        <v>156</v>
      </c>
      <c r="D48" s="22" t="s">
        <v>157</v>
      </c>
      <c r="E48" s="23">
        <v>410</v>
      </c>
      <c r="F48" s="24" t="s">
        <v>91</v>
      </c>
      <c r="G48" s="25">
        <f t="shared" si="31"/>
        <v>374741836</v>
      </c>
      <c r="H48" s="25"/>
      <c r="I48" s="25">
        <v>270000000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56">
        <v>104741836</v>
      </c>
      <c r="Z48" s="56"/>
      <c r="AB48" s="27">
        <f t="shared" si="1"/>
        <v>1</v>
      </c>
      <c r="AC48" s="25">
        <f t="shared" si="32"/>
        <v>374741836</v>
      </c>
      <c r="AD48" s="25"/>
      <c r="AE48" s="25"/>
      <c r="AF48" s="25">
        <f>+'[4]ENERO 2016'!$M$432</f>
        <v>270000000</v>
      </c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>
        <f>+'[1]AGOSTO 2016'!$AF$1980</f>
        <v>104741836</v>
      </c>
      <c r="AW48" s="25"/>
      <c r="AX48" s="27">
        <f t="shared" si="3"/>
        <v>0</v>
      </c>
      <c r="AY48" s="25">
        <f t="shared" si="33"/>
        <v>0</v>
      </c>
      <c r="AZ48" s="25">
        <f t="shared" si="34"/>
        <v>0</v>
      </c>
      <c r="BA48" s="25">
        <f t="shared" si="34"/>
        <v>0</v>
      </c>
      <c r="BB48" s="25">
        <f t="shared" si="34"/>
        <v>0</v>
      </c>
      <c r="BC48" s="25">
        <f t="shared" si="48"/>
        <v>0</v>
      </c>
      <c r="BD48" s="25">
        <f t="shared" si="48"/>
        <v>0</v>
      </c>
      <c r="BE48" s="25">
        <f t="shared" si="48"/>
        <v>0</v>
      </c>
      <c r="BF48" s="25">
        <f t="shared" si="48"/>
        <v>0</v>
      </c>
      <c r="BG48" s="25">
        <f t="shared" si="48"/>
        <v>0</v>
      </c>
      <c r="BH48" s="25">
        <f t="shared" si="55"/>
        <v>0</v>
      </c>
      <c r="BI48" s="25">
        <f t="shared" si="48"/>
        <v>0</v>
      </c>
      <c r="BJ48" s="25">
        <f t="shared" si="48"/>
        <v>0</v>
      </c>
      <c r="BK48" s="25">
        <f t="shared" si="48"/>
        <v>0</v>
      </c>
      <c r="BL48" s="25">
        <f>+T48-AQ48</f>
        <v>0</v>
      </c>
      <c r="BM48" s="25">
        <f t="shared" si="48"/>
        <v>0</v>
      </c>
      <c r="BN48" s="25">
        <f t="shared" si="48"/>
        <v>0</v>
      </c>
      <c r="BO48" s="25"/>
      <c r="BP48" s="25"/>
      <c r="BQ48" s="25">
        <f t="shared" si="49"/>
        <v>0</v>
      </c>
      <c r="BR48" s="25">
        <f t="shared" si="50"/>
        <v>0</v>
      </c>
      <c r="BS48" s="27">
        <f t="shared" si="10"/>
        <v>0.75724210840446438</v>
      </c>
      <c r="BT48" s="25">
        <f t="shared" si="37"/>
        <v>283770298</v>
      </c>
      <c r="BU48" s="25"/>
      <c r="BV48" s="25"/>
      <c r="BW48" s="25">
        <f>+'[4]ENERO 2016'!$H$430</f>
        <v>270000000</v>
      </c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>
        <f>+'[3]ABRIL 2016'!$H$975+'[8]MAYO 2016'!$AF$1142</f>
        <v>13770298</v>
      </c>
      <c r="CN48" s="25"/>
      <c r="CO48" s="27">
        <f t="shared" si="12"/>
        <v>0.24275789159553562</v>
      </c>
      <c r="CP48" s="25">
        <f t="shared" si="38"/>
        <v>90971538</v>
      </c>
      <c r="CQ48" s="25">
        <f t="shared" si="39"/>
        <v>0</v>
      </c>
      <c r="CR48" s="25">
        <f t="shared" si="39"/>
        <v>0</v>
      </c>
      <c r="CS48" s="25">
        <f t="shared" si="39"/>
        <v>0</v>
      </c>
      <c r="CT48" s="25">
        <f t="shared" si="39"/>
        <v>0</v>
      </c>
      <c r="CU48" s="25">
        <f t="shared" si="39"/>
        <v>0</v>
      </c>
      <c r="CV48" s="25">
        <f t="shared" si="39"/>
        <v>0</v>
      </c>
      <c r="CW48" s="25">
        <f t="shared" si="51"/>
        <v>0</v>
      </c>
      <c r="CX48" s="25">
        <f t="shared" si="51"/>
        <v>0</v>
      </c>
      <c r="CY48" s="25">
        <f t="shared" si="51"/>
        <v>0</v>
      </c>
      <c r="CZ48" s="25">
        <f t="shared" ref="CZ48:DB57" si="57">Q48-CE48</f>
        <v>0</v>
      </c>
      <c r="DA48" s="25">
        <f t="shared" si="57"/>
        <v>0</v>
      </c>
      <c r="DB48" s="25">
        <f t="shared" si="57"/>
        <v>0</v>
      </c>
      <c r="DC48" s="25">
        <f t="shared" si="52"/>
        <v>0</v>
      </c>
      <c r="DD48" s="25">
        <f t="shared" si="52"/>
        <v>0</v>
      </c>
      <c r="DE48" s="25">
        <f t="shared" si="52"/>
        <v>0</v>
      </c>
      <c r="DF48" s="25"/>
      <c r="DG48" s="25">
        <f t="shared" si="53"/>
        <v>0</v>
      </c>
      <c r="DH48" s="25">
        <f t="shared" si="56"/>
        <v>90971538</v>
      </c>
      <c r="DI48" s="25">
        <f t="shared" si="54"/>
        <v>0</v>
      </c>
      <c r="DK48" s="78"/>
      <c r="DL48" s="78"/>
      <c r="DM48" s="276">
        <f t="shared" si="44"/>
        <v>374741836</v>
      </c>
      <c r="DN48" s="277">
        <f t="shared" si="45"/>
        <v>283770298</v>
      </c>
      <c r="DO48" s="78"/>
    </row>
    <row r="49" spans="1:119" s="59" customFormat="1" ht="23.25" hidden="1" customHeight="1" x14ac:dyDescent="0.25">
      <c r="A49" s="193"/>
      <c r="B49" s="188"/>
      <c r="C49" s="57" t="s">
        <v>158</v>
      </c>
      <c r="D49" s="22" t="s">
        <v>159</v>
      </c>
      <c r="E49" s="23">
        <v>410</v>
      </c>
      <c r="F49" s="24" t="s">
        <v>91</v>
      </c>
      <c r="G49" s="25">
        <f t="shared" si="31"/>
        <v>30000000</v>
      </c>
      <c r="H49" s="58"/>
      <c r="I49" s="56">
        <v>30000000</v>
      </c>
      <c r="J49" s="56"/>
      <c r="K49" s="58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B49" s="60">
        <f t="shared" si="1"/>
        <v>1</v>
      </c>
      <c r="AC49" s="25">
        <f t="shared" si="32"/>
        <v>30000000</v>
      </c>
      <c r="AD49" s="56"/>
      <c r="AE49" s="56"/>
      <c r="AF49" s="56">
        <f>+'[6]JULIO 2016'!$M$1444</f>
        <v>30000000</v>
      </c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60">
        <f t="shared" si="3"/>
        <v>0</v>
      </c>
      <c r="AY49" s="25">
        <f t="shared" si="33"/>
        <v>0</v>
      </c>
      <c r="AZ49" s="25">
        <f t="shared" si="34"/>
        <v>0</v>
      </c>
      <c r="BA49" s="25">
        <f t="shared" si="34"/>
        <v>0</v>
      </c>
      <c r="BB49" s="25">
        <f t="shared" si="34"/>
        <v>0</v>
      </c>
      <c r="BC49" s="25">
        <f t="shared" si="48"/>
        <v>0</v>
      </c>
      <c r="BD49" s="25">
        <f t="shared" si="48"/>
        <v>0</v>
      </c>
      <c r="BE49" s="25">
        <f t="shared" si="48"/>
        <v>0</v>
      </c>
      <c r="BF49" s="25">
        <f t="shared" si="48"/>
        <v>0</v>
      </c>
      <c r="BG49" s="25">
        <f t="shared" si="48"/>
        <v>0</v>
      </c>
      <c r="BH49" s="25">
        <f t="shared" si="55"/>
        <v>0</v>
      </c>
      <c r="BI49" s="25">
        <f t="shared" si="48"/>
        <v>0</v>
      </c>
      <c r="BJ49" s="25">
        <f t="shared" si="48"/>
        <v>0</v>
      </c>
      <c r="BK49" s="25">
        <f t="shared" si="48"/>
        <v>0</v>
      </c>
      <c r="BL49" s="56"/>
      <c r="BM49" s="25">
        <f t="shared" si="48"/>
        <v>0</v>
      </c>
      <c r="BN49" s="25">
        <f t="shared" si="48"/>
        <v>0</v>
      </c>
      <c r="BO49" s="25"/>
      <c r="BP49" s="56"/>
      <c r="BQ49" s="25">
        <f t="shared" si="49"/>
        <v>0</v>
      </c>
      <c r="BR49" s="56">
        <f t="shared" si="50"/>
        <v>0</v>
      </c>
      <c r="BS49" s="60">
        <f t="shared" si="10"/>
        <v>1</v>
      </c>
      <c r="BT49" s="25">
        <f t="shared" si="37"/>
        <v>30000000</v>
      </c>
      <c r="BU49" s="56"/>
      <c r="BV49" s="56"/>
      <c r="BW49" s="56">
        <f>+'[1]AGOSTO 2016'!$H$1989</f>
        <v>30000000</v>
      </c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60">
        <f t="shared" si="12"/>
        <v>0</v>
      </c>
      <c r="CP49" s="25">
        <f t="shared" si="38"/>
        <v>0</v>
      </c>
      <c r="CQ49" s="25">
        <f t="shared" si="39"/>
        <v>0</v>
      </c>
      <c r="CR49" s="25">
        <f t="shared" si="39"/>
        <v>0</v>
      </c>
      <c r="CS49" s="25">
        <f t="shared" si="39"/>
        <v>0</v>
      </c>
      <c r="CT49" s="25">
        <f t="shared" si="39"/>
        <v>0</v>
      </c>
      <c r="CU49" s="25">
        <f t="shared" si="39"/>
        <v>0</v>
      </c>
      <c r="CV49" s="25">
        <f t="shared" si="39"/>
        <v>0</v>
      </c>
      <c r="CW49" s="25">
        <f>N49-CB49</f>
        <v>0</v>
      </c>
      <c r="CX49" s="25">
        <f>O49-CC49</f>
        <v>0</v>
      </c>
      <c r="CY49" s="25">
        <f>P49-CD49</f>
        <v>0</v>
      </c>
      <c r="CZ49" s="25">
        <f t="shared" si="57"/>
        <v>0</v>
      </c>
      <c r="DA49" s="25">
        <f t="shared" si="57"/>
        <v>0</v>
      </c>
      <c r="DB49" s="25">
        <f t="shared" si="57"/>
        <v>0</v>
      </c>
      <c r="DC49" s="25">
        <f>T49-CH49</f>
        <v>0</v>
      </c>
      <c r="DD49" s="25">
        <f>U49-CI49</f>
        <v>0</v>
      </c>
      <c r="DE49" s="25">
        <f>V49-CJ49</f>
        <v>0</v>
      </c>
      <c r="DF49" s="25"/>
      <c r="DG49" s="25">
        <f>X49-CL49</f>
        <v>0</v>
      </c>
      <c r="DH49" s="25">
        <f t="shared" si="56"/>
        <v>0</v>
      </c>
      <c r="DI49" s="25">
        <f>Z49-CN49</f>
        <v>0</v>
      </c>
      <c r="DK49" s="78"/>
      <c r="DL49" s="78"/>
      <c r="DM49" s="276">
        <f t="shared" si="44"/>
        <v>30000000</v>
      </c>
      <c r="DN49" s="277">
        <f t="shared" si="45"/>
        <v>30000000</v>
      </c>
      <c r="DO49" s="78"/>
    </row>
    <row r="50" spans="1:119" ht="33.75" hidden="1" customHeight="1" x14ac:dyDescent="0.25">
      <c r="A50" s="193"/>
      <c r="B50" s="186" t="s">
        <v>160</v>
      </c>
      <c r="C50" s="21" t="s">
        <v>161</v>
      </c>
      <c r="D50" s="22" t="s">
        <v>162</v>
      </c>
      <c r="E50" s="23">
        <v>410</v>
      </c>
      <c r="F50" s="24" t="s">
        <v>91</v>
      </c>
      <c r="G50" s="25">
        <f t="shared" si="31"/>
        <v>90000000</v>
      </c>
      <c r="H50" s="49"/>
      <c r="I50" s="25">
        <f>21264791</f>
        <v>21264791</v>
      </c>
      <c r="J50" s="25"/>
      <c r="K50" s="49"/>
      <c r="L50" s="36"/>
      <c r="M50" s="36"/>
      <c r="N50" s="36"/>
      <c r="O50" s="25"/>
      <c r="P50" s="25"/>
      <c r="Q50" s="25"/>
      <c r="R50" s="25"/>
      <c r="S50" s="25"/>
      <c r="T50" s="25"/>
      <c r="U50" s="25">
        <f>90000000-21264791</f>
        <v>68735209</v>
      </c>
      <c r="V50" s="25"/>
      <c r="W50" s="25"/>
      <c r="X50" s="25"/>
      <c r="Y50" s="25"/>
      <c r="Z50" s="25"/>
      <c r="AB50" s="27">
        <f t="shared" si="1"/>
        <v>0.91622828888888885</v>
      </c>
      <c r="AC50" s="25">
        <f t="shared" si="32"/>
        <v>82460546</v>
      </c>
      <c r="AD50" s="25"/>
      <c r="AE50" s="25"/>
      <c r="AF50" s="25">
        <f>+'[1]AGOSTO 2016'!$M$2000</f>
        <v>21264791</v>
      </c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>
        <f>+'[1]AGOSTO 2016'!$Y$2000</f>
        <v>61195755</v>
      </c>
      <c r="AS50" s="25"/>
      <c r="AT50" s="25"/>
      <c r="AU50" s="25"/>
      <c r="AV50" s="25"/>
      <c r="AW50" s="25"/>
      <c r="AX50" s="27">
        <f t="shared" si="3"/>
        <v>8.3771711111111147E-2</v>
      </c>
      <c r="AY50" s="25">
        <f t="shared" si="33"/>
        <v>7539454</v>
      </c>
      <c r="AZ50" s="25">
        <f t="shared" si="34"/>
        <v>0</v>
      </c>
      <c r="BA50" s="25">
        <f t="shared" si="34"/>
        <v>0</v>
      </c>
      <c r="BB50" s="25">
        <f t="shared" si="34"/>
        <v>0</v>
      </c>
      <c r="BC50" s="25">
        <f t="shared" si="48"/>
        <v>0</v>
      </c>
      <c r="BD50" s="25">
        <f t="shared" si="48"/>
        <v>0</v>
      </c>
      <c r="BE50" s="25">
        <f t="shared" si="48"/>
        <v>0</v>
      </c>
      <c r="BF50" s="25">
        <f t="shared" si="48"/>
        <v>0</v>
      </c>
      <c r="BG50" s="25">
        <f t="shared" si="48"/>
        <v>0</v>
      </c>
      <c r="BH50" s="25">
        <f t="shared" si="55"/>
        <v>0</v>
      </c>
      <c r="BI50" s="25">
        <f t="shared" si="48"/>
        <v>0</v>
      </c>
      <c r="BJ50" s="25">
        <f t="shared" si="48"/>
        <v>0</v>
      </c>
      <c r="BK50" s="25">
        <f t="shared" si="48"/>
        <v>0</v>
      </c>
      <c r="BL50" s="25">
        <f>+T50-AQ50</f>
        <v>0</v>
      </c>
      <c r="BM50" s="25">
        <f t="shared" si="48"/>
        <v>7539454</v>
      </c>
      <c r="BN50" s="25">
        <f t="shared" si="48"/>
        <v>0</v>
      </c>
      <c r="BO50" s="25"/>
      <c r="BP50" s="25"/>
      <c r="BQ50" s="25">
        <f t="shared" si="49"/>
        <v>0</v>
      </c>
      <c r="BR50" s="25">
        <f t="shared" si="50"/>
        <v>0</v>
      </c>
      <c r="BS50" s="27">
        <f t="shared" si="10"/>
        <v>0.65731024444444441</v>
      </c>
      <c r="BT50" s="25">
        <f t="shared" si="37"/>
        <v>59157922</v>
      </c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>
        <f>+'[1]AGOSTO 2016'!$H$2001+'[1]AGOSTO 2016'!$H$2008+'[1]AGOSTO 2016'!$H$2011</f>
        <v>59157922</v>
      </c>
      <c r="CJ50" s="25"/>
      <c r="CK50" s="25"/>
      <c r="CL50" s="25"/>
      <c r="CM50" s="25"/>
      <c r="CN50" s="25"/>
      <c r="CO50" s="27">
        <f t="shared" si="12"/>
        <v>0.34268975555555559</v>
      </c>
      <c r="CP50" s="25">
        <f t="shared" si="38"/>
        <v>30842078</v>
      </c>
      <c r="CQ50" s="25">
        <f t="shared" si="39"/>
        <v>0</v>
      </c>
      <c r="CR50" s="25">
        <f t="shared" si="39"/>
        <v>21264791</v>
      </c>
      <c r="CS50" s="25">
        <f t="shared" si="39"/>
        <v>0</v>
      </c>
      <c r="CT50" s="25">
        <f t="shared" si="39"/>
        <v>0</v>
      </c>
      <c r="CU50" s="25">
        <f t="shared" si="39"/>
        <v>0</v>
      </c>
      <c r="CV50" s="25">
        <f t="shared" si="39"/>
        <v>0</v>
      </c>
      <c r="CW50" s="25">
        <f>+N50-CB50</f>
        <v>0</v>
      </c>
      <c r="CX50" s="25">
        <f>+O50-CC50</f>
        <v>0</v>
      </c>
      <c r="CY50" s="25">
        <f>+P50-CD50</f>
        <v>0</v>
      </c>
      <c r="CZ50" s="25">
        <f t="shared" si="57"/>
        <v>0</v>
      </c>
      <c r="DA50" s="25">
        <f t="shared" si="57"/>
        <v>0</v>
      </c>
      <c r="DB50" s="25">
        <f t="shared" si="57"/>
        <v>0</v>
      </c>
      <c r="DC50" s="25">
        <f>+T50-CH50</f>
        <v>0</v>
      </c>
      <c r="DD50" s="25">
        <f>+U50-CI50</f>
        <v>9577287</v>
      </c>
      <c r="DE50" s="25">
        <f>+V50-CJ50</f>
        <v>0</v>
      </c>
      <c r="DF50" s="25"/>
      <c r="DG50" s="25">
        <f>+X50-CL50</f>
        <v>0</v>
      </c>
      <c r="DH50" s="25">
        <f t="shared" si="56"/>
        <v>0</v>
      </c>
      <c r="DI50" s="25">
        <f>+Z50-CN50</f>
        <v>0</v>
      </c>
      <c r="DJ50" s="47"/>
      <c r="DK50" s="78"/>
      <c r="DL50" s="78"/>
      <c r="DM50" s="276">
        <f t="shared" si="44"/>
        <v>90000000</v>
      </c>
      <c r="DN50" s="277">
        <f t="shared" si="45"/>
        <v>59157922</v>
      </c>
      <c r="DO50" s="78"/>
    </row>
    <row r="51" spans="1:119" ht="21.75" hidden="1" customHeight="1" x14ac:dyDescent="0.25">
      <c r="A51" s="193"/>
      <c r="B51" s="188"/>
      <c r="C51" s="21" t="s">
        <v>163</v>
      </c>
      <c r="D51" s="22" t="s">
        <v>112</v>
      </c>
      <c r="E51" s="23">
        <v>410</v>
      </c>
      <c r="F51" s="24" t="s">
        <v>76</v>
      </c>
      <c r="G51" s="25">
        <f t="shared" si="31"/>
        <v>3000000</v>
      </c>
      <c r="H51" s="49"/>
      <c r="I51" s="25"/>
      <c r="J51" s="25"/>
      <c r="K51" s="49"/>
      <c r="L51" s="36"/>
      <c r="M51" s="36"/>
      <c r="N51" s="36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>
        <v>3000000</v>
      </c>
      <c r="AB51" s="27">
        <f t="shared" si="1"/>
        <v>0.60211700000000001</v>
      </c>
      <c r="AC51" s="25">
        <f t="shared" si="32"/>
        <v>1806351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>
        <f>+'[6]JULIO 2016'!$AG$1463</f>
        <v>1806351</v>
      </c>
      <c r="AX51" s="27">
        <f t="shared" si="3"/>
        <v>0.39788299999999999</v>
      </c>
      <c r="AY51" s="25">
        <f t="shared" si="33"/>
        <v>1193649</v>
      </c>
      <c r="AZ51" s="25">
        <f t="shared" si="34"/>
        <v>0</v>
      </c>
      <c r="BA51" s="25">
        <f t="shared" si="34"/>
        <v>0</v>
      </c>
      <c r="BB51" s="25">
        <f t="shared" si="34"/>
        <v>0</v>
      </c>
      <c r="BC51" s="25">
        <f t="shared" si="48"/>
        <v>0</v>
      </c>
      <c r="BD51" s="25">
        <f t="shared" si="48"/>
        <v>0</v>
      </c>
      <c r="BE51" s="25">
        <f t="shared" si="48"/>
        <v>0</v>
      </c>
      <c r="BF51" s="25">
        <f t="shared" si="48"/>
        <v>0</v>
      </c>
      <c r="BG51" s="25">
        <f t="shared" si="48"/>
        <v>0</v>
      </c>
      <c r="BH51" s="25">
        <f t="shared" si="55"/>
        <v>0</v>
      </c>
      <c r="BI51" s="25">
        <f t="shared" si="48"/>
        <v>0</v>
      </c>
      <c r="BJ51" s="25">
        <f t="shared" si="48"/>
        <v>0</v>
      </c>
      <c r="BK51" s="25">
        <f t="shared" si="48"/>
        <v>0</v>
      </c>
      <c r="BL51" s="25"/>
      <c r="BM51" s="25">
        <f t="shared" si="48"/>
        <v>0</v>
      </c>
      <c r="BN51" s="25">
        <f t="shared" si="48"/>
        <v>0</v>
      </c>
      <c r="BO51" s="25"/>
      <c r="BP51" s="25"/>
      <c r="BQ51" s="25">
        <f t="shared" si="49"/>
        <v>0</v>
      </c>
      <c r="BR51" s="25">
        <f t="shared" si="50"/>
        <v>1193649</v>
      </c>
      <c r="BS51" s="27">
        <f t="shared" si="10"/>
        <v>0.60211700000000001</v>
      </c>
      <c r="BT51" s="25">
        <f t="shared" si="37"/>
        <v>1806351</v>
      </c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>
        <f>+'[6]JULIO 2016'!$AG$1463</f>
        <v>1806351</v>
      </c>
      <c r="CO51" s="27">
        <f t="shared" si="12"/>
        <v>0.39788299999999999</v>
      </c>
      <c r="CP51" s="25">
        <f t="shared" si="38"/>
        <v>1193649</v>
      </c>
      <c r="CQ51" s="25">
        <f t="shared" si="39"/>
        <v>0</v>
      </c>
      <c r="CR51" s="25">
        <f t="shared" si="39"/>
        <v>0</v>
      </c>
      <c r="CS51" s="25">
        <f t="shared" si="39"/>
        <v>0</v>
      </c>
      <c r="CT51" s="25">
        <f t="shared" si="39"/>
        <v>0</v>
      </c>
      <c r="CU51" s="25">
        <f t="shared" si="39"/>
        <v>0</v>
      </c>
      <c r="CV51" s="25">
        <f t="shared" si="39"/>
        <v>0</v>
      </c>
      <c r="CW51" s="25">
        <f>N51-CB51</f>
        <v>0</v>
      </c>
      <c r="CX51" s="25">
        <f>O51-CC51</f>
        <v>0</v>
      </c>
      <c r="CY51" s="25">
        <f>P51-CD51</f>
        <v>0</v>
      </c>
      <c r="CZ51" s="25">
        <f t="shared" si="57"/>
        <v>0</v>
      </c>
      <c r="DA51" s="25">
        <f t="shared" si="57"/>
        <v>0</v>
      </c>
      <c r="DB51" s="25">
        <f t="shared" si="57"/>
        <v>0</v>
      </c>
      <c r="DC51" s="25">
        <f>T51-CH51</f>
        <v>0</v>
      </c>
      <c r="DD51" s="25">
        <f>U51-CI51</f>
        <v>0</v>
      </c>
      <c r="DE51" s="25">
        <f>V51-CJ51</f>
        <v>0</v>
      </c>
      <c r="DF51" s="25"/>
      <c r="DG51" s="25">
        <f>X51-CL51</f>
        <v>0</v>
      </c>
      <c r="DH51" s="25">
        <f t="shared" si="56"/>
        <v>0</v>
      </c>
      <c r="DI51" s="25">
        <f>Z51-CN51</f>
        <v>1193649</v>
      </c>
      <c r="DJ51" s="47"/>
      <c r="DK51" s="78"/>
      <c r="DL51" s="78"/>
      <c r="DM51" s="276">
        <f t="shared" si="44"/>
        <v>3000000</v>
      </c>
      <c r="DN51" s="277">
        <f t="shared" si="45"/>
        <v>1806351</v>
      </c>
      <c r="DO51" s="78"/>
    </row>
    <row r="52" spans="1:119" ht="51.75" hidden="1" customHeight="1" x14ac:dyDescent="0.25">
      <c r="A52" s="193"/>
      <c r="B52" s="186" t="s">
        <v>164</v>
      </c>
      <c r="C52" s="21" t="s">
        <v>165</v>
      </c>
      <c r="D52" s="22" t="s">
        <v>166</v>
      </c>
      <c r="E52" s="23">
        <v>410</v>
      </c>
      <c r="F52" s="24" t="s">
        <v>167</v>
      </c>
      <c r="G52" s="25">
        <f t="shared" si="31"/>
        <v>42000000</v>
      </c>
      <c r="H52" s="36"/>
      <c r="I52" s="25">
        <v>30000000</v>
      </c>
      <c r="J52" s="25"/>
      <c r="K52" s="36"/>
      <c r="L52" s="36"/>
      <c r="M52" s="36"/>
      <c r="N52" s="36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>
        <f>22000000+5000000-16000000+1000000</f>
        <v>12000000</v>
      </c>
      <c r="AB52" s="27">
        <f t="shared" si="1"/>
        <v>1</v>
      </c>
      <c r="AC52" s="25">
        <f t="shared" si="32"/>
        <v>42000000</v>
      </c>
      <c r="AD52" s="25"/>
      <c r="AE52" s="25"/>
      <c r="AF52" s="25">
        <v>30000000</v>
      </c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>
        <f>+'[1]AGOSTO 2016'!$AG$2028</f>
        <v>12000000</v>
      </c>
      <c r="AX52" s="27">
        <f t="shared" si="3"/>
        <v>0</v>
      </c>
      <c r="AY52" s="25">
        <f t="shared" si="33"/>
        <v>0</v>
      </c>
      <c r="AZ52" s="25">
        <f t="shared" si="34"/>
        <v>0</v>
      </c>
      <c r="BA52" s="25">
        <f t="shared" si="34"/>
        <v>0</v>
      </c>
      <c r="BB52" s="25">
        <f t="shared" si="34"/>
        <v>0</v>
      </c>
      <c r="BC52" s="25">
        <f t="shared" si="48"/>
        <v>0</v>
      </c>
      <c r="BD52" s="25">
        <f t="shared" si="48"/>
        <v>0</v>
      </c>
      <c r="BE52" s="25">
        <f t="shared" si="48"/>
        <v>0</v>
      </c>
      <c r="BF52" s="25">
        <f t="shared" si="48"/>
        <v>0</v>
      </c>
      <c r="BG52" s="25">
        <f t="shared" si="48"/>
        <v>0</v>
      </c>
      <c r="BH52" s="25">
        <f t="shared" si="55"/>
        <v>0</v>
      </c>
      <c r="BI52" s="25">
        <f t="shared" si="48"/>
        <v>0</v>
      </c>
      <c r="BJ52" s="25">
        <f t="shared" si="48"/>
        <v>0</v>
      </c>
      <c r="BK52" s="25">
        <f t="shared" si="48"/>
        <v>0</v>
      </c>
      <c r="BL52" s="25">
        <f t="shared" si="48"/>
        <v>0</v>
      </c>
      <c r="BM52" s="25">
        <f t="shared" si="48"/>
        <v>0</v>
      </c>
      <c r="BN52" s="25">
        <f t="shared" si="48"/>
        <v>0</v>
      </c>
      <c r="BO52" s="25"/>
      <c r="BP52" s="25"/>
      <c r="BQ52" s="25">
        <f t="shared" si="49"/>
        <v>0</v>
      </c>
      <c r="BR52" s="25">
        <f t="shared" si="50"/>
        <v>0</v>
      </c>
      <c r="BS52" s="27">
        <f t="shared" si="10"/>
        <v>0.92264933333333332</v>
      </c>
      <c r="BT52" s="25">
        <f t="shared" si="37"/>
        <v>38751272</v>
      </c>
      <c r="BU52" s="25"/>
      <c r="BV52" s="25"/>
      <c r="BW52" s="25">
        <f>+'[6]JULIO 2016'!$H$1477</f>
        <v>29751272</v>
      </c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>
        <f>+'[1]AGOSTO 2016'!$H$2026-BW52</f>
        <v>9000000</v>
      </c>
      <c r="CO52" s="27">
        <f t="shared" si="12"/>
        <v>7.7350666666666679E-2</v>
      </c>
      <c r="CP52" s="25">
        <f t="shared" si="38"/>
        <v>3248728</v>
      </c>
      <c r="CQ52" s="25">
        <f t="shared" si="39"/>
        <v>0</v>
      </c>
      <c r="CR52" s="25">
        <f t="shared" si="39"/>
        <v>248728</v>
      </c>
      <c r="CS52" s="25">
        <f t="shared" si="39"/>
        <v>0</v>
      </c>
      <c r="CT52" s="25">
        <f t="shared" si="39"/>
        <v>0</v>
      </c>
      <c r="CU52" s="25">
        <f t="shared" si="39"/>
        <v>0</v>
      </c>
      <c r="CV52" s="25">
        <f t="shared" si="39"/>
        <v>0</v>
      </c>
      <c r="CW52" s="25">
        <f t="shared" ref="CW52:CX57" si="58">+N52-CB52</f>
        <v>0</v>
      </c>
      <c r="CX52" s="25">
        <f t="shared" si="58"/>
        <v>0</v>
      </c>
      <c r="CY52" s="25">
        <f t="shared" ref="CY52:CY57" si="59">P52-CD52</f>
        <v>0</v>
      </c>
      <c r="CZ52" s="25">
        <f t="shared" si="57"/>
        <v>0</v>
      </c>
      <c r="DA52" s="25">
        <f t="shared" si="57"/>
        <v>0</v>
      </c>
      <c r="DB52" s="25">
        <f t="shared" si="57"/>
        <v>0</v>
      </c>
      <c r="DC52" s="25">
        <f t="shared" ref="DC52:DE57" si="60">+T52-CH52</f>
        <v>0</v>
      </c>
      <c r="DD52" s="25">
        <f t="shared" si="60"/>
        <v>0</v>
      </c>
      <c r="DE52" s="25">
        <f t="shared" si="60"/>
        <v>0</v>
      </c>
      <c r="DF52" s="25"/>
      <c r="DG52" s="25">
        <f t="shared" ref="DG52:DG57" si="61">+X52-CL52</f>
        <v>0</v>
      </c>
      <c r="DH52" s="25">
        <f t="shared" si="56"/>
        <v>0</v>
      </c>
      <c r="DI52" s="25">
        <f t="shared" ref="DI52:DI57" si="62">+Z52-CN52</f>
        <v>3000000</v>
      </c>
      <c r="DK52" s="78"/>
      <c r="DL52" s="78"/>
      <c r="DM52" s="276">
        <f t="shared" si="44"/>
        <v>42000000</v>
      </c>
      <c r="DN52" s="277">
        <f t="shared" si="45"/>
        <v>38751272</v>
      </c>
      <c r="DO52" s="78"/>
    </row>
    <row r="53" spans="1:119" ht="30" hidden="1" x14ac:dyDescent="0.25">
      <c r="A53" s="193"/>
      <c r="B53" s="187"/>
      <c r="C53" s="21" t="s">
        <v>168</v>
      </c>
      <c r="D53" s="22" t="s">
        <v>169</v>
      </c>
      <c r="E53" s="23">
        <v>410</v>
      </c>
      <c r="F53" s="24" t="s">
        <v>91</v>
      </c>
      <c r="G53" s="25">
        <f t="shared" si="31"/>
        <v>10000000</v>
      </c>
      <c r="H53" s="36"/>
      <c r="I53" s="25"/>
      <c r="J53" s="25"/>
      <c r="K53" s="36"/>
      <c r="L53" s="36"/>
      <c r="M53" s="36"/>
      <c r="N53" s="36"/>
      <c r="O53" s="25"/>
      <c r="P53" s="25"/>
      <c r="Q53" s="25"/>
      <c r="R53" s="25"/>
      <c r="S53" s="25"/>
      <c r="T53" s="25"/>
      <c r="U53" s="25">
        <v>10000000</v>
      </c>
      <c r="V53" s="25"/>
      <c r="W53" s="25"/>
      <c r="X53" s="25"/>
      <c r="Y53" s="25"/>
      <c r="Z53" s="25"/>
      <c r="AB53" s="27">
        <f t="shared" si="1"/>
        <v>1</v>
      </c>
      <c r="AC53" s="25">
        <f t="shared" si="32"/>
        <v>10000000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>
        <v>10000000</v>
      </c>
      <c r="AS53" s="25"/>
      <c r="AT53" s="25"/>
      <c r="AU53" s="25"/>
      <c r="AV53" s="25"/>
      <c r="AW53" s="25"/>
      <c r="AX53" s="27">
        <f t="shared" si="3"/>
        <v>0</v>
      </c>
      <c r="AY53" s="25">
        <f t="shared" si="33"/>
        <v>0</v>
      </c>
      <c r="AZ53" s="25">
        <f t="shared" si="34"/>
        <v>0</v>
      </c>
      <c r="BA53" s="25">
        <f t="shared" si="34"/>
        <v>0</v>
      </c>
      <c r="BB53" s="25">
        <f t="shared" si="34"/>
        <v>0</v>
      </c>
      <c r="BC53" s="25">
        <f t="shared" ref="BC53:BG57" si="63">+K53-AH53</f>
        <v>0</v>
      </c>
      <c r="BD53" s="25">
        <f t="shared" si="63"/>
        <v>0</v>
      </c>
      <c r="BE53" s="25">
        <f t="shared" si="63"/>
        <v>0</v>
      </c>
      <c r="BF53" s="25">
        <f t="shared" si="63"/>
        <v>0</v>
      </c>
      <c r="BG53" s="25">
        <f t="shared" si="63"/>
        <v>0</v>
      </c>
      <c r="BH53" s="25">
        <f t="shared" si="55"/>
        <v>0</v>
      </c>
      <c r="BI53" s="25">
        <f t="shared" ref="BI53:BN57" si="64">+Q53-AN53</f>
        <v>0</v>
      </c>
      <c r="BJ53" s="25">
        <f t="shared" si="64"/>
        <v>0</v>
      </c>
      <c r="BK53" s="25">
        <f t="shared" si="64"/>
        <v>0</v>
      </c>
      <c r="BL53" s="25">
        <f t="shared" si="64"/>
        <v>0</v>
      </c>
      <c r="BM53" s="25">
        <f t="shared" si="64"/>
        <v>0</v>
      </c>
      <c r="BN53" s="25">
        <f t="shared" si="64"/>
        <v>0</v>
      </c>
      <c r="BO53" s="25"/>
      <c r="BP53" s="25"/>
      <c r="BQ53" s="25">
        <f t="shared" si="49"/>
        <v>0</v>
      </c>
      <c r="BR53" s="25">
        <f t="shared" si="50"/>
        <v>0</v>
      </c>
      <c r="BS53" s="27">
        <f t="shared" si="10"/>
        <v>0.9553836</v>
      </c>
      <c r="BT53" s="25">
        <f t="shared" si="37"/>
        <v>9553836</v>
      </c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>
        <f>+'[5]FEBRERO 2016'!$H$621</f>
        <v>9553836</v>
      </c>
      <c r="CJ53" s="25"/>
      <c r="CK53" s="25"/>
      <c r="CL53" s="25"/>
      <c r="CM53" s="25"/>
      <c r="CN53" s="25"/>
      <c r="CO53" s="27">
        <f t="shared" si="12"/>
        <v>4.4616400000000001E-2</v>
      </c>
      <c r="CP53" s="25">
        <f t="shared" si="38"/>
        <v>446164</v>
      </c>
      <c r="CQ53" s="25">
        <f t="shared" si="39"/>
        <v>0</v>
      </c>
      <c r="CR53" s="25">
        <f t="shared" si="39"/>
        <v>0</v>
      </c>
      <c r="CS53" s="25">
        <f t="shared" si="39"/>
        <v>0</v>
      </c>
      <c r="CT53" s="25">
        <f t="shared" si="39"/>
        <v>0</v>
      </c>
      <c r="CU53" s="25">
        <f t="shared" si="39"/>
        <v>0</v>
      </c>
      <c r="CV53" s="25">
        <f t="shared" si="39"/>
        <v>0</v>
      </c>
      <c r="CW53" s="25">
        <f t="shared" si="58"/>
        <v>0</v>
      </c>
      <c r="CX53" s="25">
        <f t="shared" si="58"/>
        <v>0</v>
      </c>
      <c r="CY53" s="25">
        <f t="shared" si="59"/>
        <v>0</v>
      </c>
      <c r="CZ53" s="25">
        <f t="shared" si="57"/>
        <v>0</v>
      </c>
      <c r="DA53" s="25">
        <f t="shared" si="57"/>
        <v>0</v>
      </c>
      <c r="DB53" s="25">
        <f t="shared" si="57"/>
        <v>0</v>
      </c>
      <c r="DC53" s="25">
        <f t="shared" si="60"/>
        <v>0</v>
      </c>
      <c r="DD53" s="25">
        <f t="shared" si="60"/>
        <v>446164</v>
      </c>
      <c r="DE53" s="25">
        <f t="shared" si="60"/>
        <v>0</v>
      </c>
      <c r="DF53" s="25"/>
      <c r="DG53" s="25">
        <f t="shared" si="61"/>
        <v>0</v>
      </c>
      <c r="DH53" s="25">
        <f t="shared" si="56"/>
        <v>0</v>
      </c>
      <c r="DI53" s="25">
        <f t="shared" si="62"/>
        <v>0</v>
      </c>
      <c r="DK53" s="78"/>
      <c r="DL53" s="78"/>
      <c r="DM53" s="276">
        <f t="shared" si="44"/>
        <v>10000000</v>
      </c>
      <c r="DN53" s="277">
        <f t="shared" si="45"/>
        <v>9553836</v>
      </c>
      <c r="DO53" s="78"/>
    </row>
    <row r="54" spans="1:119" ht="31.5" hidden="1" customHeight="1" x14ac:dyDescent="0.25">
      <c r="A54" s="193"/>
      <c r="B54" s="187"/>
      <c r="C54" s="21" t="s">
        <v>170</v>
      </c>
      <c r="D54" s="22" t="s">
        <v>171</v>
      </c>
      <c r="E54" s="23">
        <v>410</v>
      </c>
      <c r="F54" s="24" t="s">
        <v>91</v>
      </c>
      <c r="G54" s="25">
        <f t="shared" si="31"/>
        <v>30000000</v>
      </c>
      <c r="H54" s="36"/>
      <c r="I54" s="25">
        <f>11831904</f>
        <v>11831904</v>
      </c>
      <c r="J54" s="25"/>
      <c r="K54" s="36"/>
      <c r="L54" s="36"/>
      <c r="M54" s="36"/>
      <c r="N54" s="36"/>
      <c r="O54" s="25"/>
      <c r="P54" s="25"/>
      <c r="Q54" s="25"/>
      <c r="R54" s="25"/>
      <c r="S54" s="25"/>
      <c r="T54" s="25"/>
      <c r="U54" s="25">
        <v>18168096</v>
      </c>
      <c r="V54" s="25"/>
      <c r="W54" s="25"/>
      <c r="X54" s="25"/>
      <c r="Y54" s="25"/>
      <c r="Z54" s="25"/>
      <c r="AB54" s="27">
        <f t="shared" si="1"/>
        <v>1</v>
      </c>
      <c r="AC54" s="25">
        <f t="shared" si="32"/>
        <v>30000000</v>
      </c>
      <c r="AD54" s="25"/>
      <c r="AE54" s="25"/>
      <c r="AF54" s="25">
        <f>+'[2]MARZO 2016 ULTIMO'!$M$817</f>
        <v>11831904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>
        <v>18168096</v>
      </c>
      <c r="AS54" s="25"/>
      <c r="AT54" s="25"/>
      <c r="AU54" s="25"/>
      <c r="AV54" s="25"/>
      <c r="AW54" s="25"/>
      <c r="AX54" s="27">
        <f t="shared" si="3"/>
        <v>0</v>
      </c>
      <c r="AY54" s="25">
        <f t="shared" si="33"/>
        <v>0</v>
      </c>
      <c r="AZ54" s="25">
        <f t="shared" si="34"/>
        <v>0</v>
      </c>
      <c r="BA54" s="25">
        <f t="shared" si="34"/>
        <v>0</v>
      </c>
      <c r="BB54" s="25">
        <f t="shared" si="34"/>
        <v>0</v>
      </c>
      <c r="BC54" s="25">
        <f t="shared" si="63"/>
        <v>0</v>
      </c>
      <c r="BD54" s="25">
        <f t="shared" si="63"/>
        <v>0</v>
      </c>
      <c r="BE54" s="25">
        <f t="shared" si="63"/>
        <v>0</v>
      </c>
      <c r="BF54" s="25">
        <f t="shared" si="63"/>
        <v>0</v>
      </c>
      <c r="BG54" s="25">
        <f t="shared" si="63"/>
        <v>0</v>
      </c>
      <c r="BH54" s="25">
        <f t="shared" si="55"/>
        <v>0</v>
      </c>
      <c r="BI54" s="25">
        <f t="shared" si="64"/>
        <v>0</v>
      </c>
      <c r="BJ54" s="25">
        <f t="shared" si="64"/>
        <v>0</v>
      </c>
      <c r="BK54" s="25">
        <f t="shared" si="64"/>
        <v>0</v>
      </c>
      <c r="BL54" s="25">
        <f t="shared" si="64"/>
        <v>0</v>
      </c>
      <c r="BM54" s="25">
        <f t="shared" si="64"/>
        <v>0</v>
      </c>
      <c r="BN54" s="25">
        <f t="shared" si="64"/>
        <v>0</v>
      </c>
      <c r="BO54" s="25"/>
      <c r="BP54" s="25"/>
      <c r="BQ54" s="25">
        <f t="shared" si="49"/>
        <v>0</v>
      </c>
      <c r="BR54" s="25">
        <f t="shared" si="50"/>
        <v>0</v>
      </c>
      <c r="BS54" s="27">
        <f t="shared" si="10"/>
        <v>1</v>
      </c>
      <c r="BT54" s="25">
        <f t="shared" si="37"/>
        <v>30000000</v>
      </c>
      <c r="BU54" s="25"/>
      <c r="BV54" s="25"/>
      <c r="BW54" s="25">
        <f>+'[1]AGOSTO 2016'!$M$2102</f>
        <v>11831904</v>
      </c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>
        <f>+'[5]FEBRERO 2016'!$H$635</f>
        <v>18168096</v>
      </c>
      <c r="CJ54" s="25"/>
      <c r="CK54" s="25"/>
      <c r="CL54" s="25"/>
      <c r="CM54" s="25"/>
      <c r="CN54" s="25"/>
      <c r="CO54" s="27">
        <f t="shared" si="12"/>
        <v>0</v>
      </c>
      <c r="CP54" s="25">
        <f t="shared" si="38"/>
        <v>0</v>
      </c>
      <c r="CQ54" s="25">
        <f t="shared" si="39"/>
        <v>0</v>
      </c>
      <c r="CR54" s="25">
        <f t="shared" si="39"/>
        <v>0</v>
      </c>
      <c r="CS54" s="25">
        <f t="shared" si="39"/>
        <v>0</v>
      </c>
      <c r="CT54" s="25">
        <f t="shared" si="39"/>
        <v>0</v>
      </c>
      <c r="CU54" s="25">
        <f t="shared" si="39"/>
        <v>0</v>
      </c>
      <c r="CV54" s="25">
        <f t="shared" si="39"/>
        <v>0</v>
      </c>
      <c r="CW54" s="25">
        <f t="shared" si="58"/>
        <v>0</v>
      </c>
      <c r="CX54" s="25">
        <f t="shared" si="58"/>
        <v>0</v>
      </c>
      <c r="CY54" s="25">
        <f t="shared" si="59"/>
        <v>0</v>
      </c>
      <c r="CZ54" s="25">
        <f t="shared" si="57"/>
        <v>0</v>
      </c>
      <c r="DA54" s="25">
        <f t="shared" si="57"/>
        <v>0</v>
      </c>
      <c r="DB54" s="25">
        <f t="shared" si="57"/>
        <v>0</v>
      </c>
      <c r="DC54" s="25">
        <f t="shared" si="60"/>
        <v>0</v>
      </c>
      <c r="DD54" s="25">
        <f t="shared" si="60"/>
        <v>0</v>
      </c>
      <c r="DE54" s="25">
        <f t="shared" si="60"/>
        <v>0</v>
      </c>
      <c r="DF54" s="25"/>
      <c r="DG54" s="25">
        <f t="shared" si="61"/>
        <v>0</v>
      </c>
      <c r="DH54" s="25">
        <f t="shared" si="56"/>
        <v>0</v>
      </c>
      <c r="DI54" s="25">
        <f t="shared" si="62"/>
        <v>0</v>
      </c>
      <c r="DK54" s="78"/>
      <c r="DL54" s="78"/>
      <c r="DM54" s="276">
        <f t="shared" si="44"/>
        <v>30000000</v>
      </c>
      <c r="DN54" s="277">
        <f t="shared" si="45"/>
        <v>30000000</v>
      </c>
      <c r="DO54" s="78"/>
    </row>
    <row r="55" spans="1:119" ht="19.5" hidden="1" customHeight="1" x14ac:dyDescent="0.25">
      <c r="A55" s="193"/>
      <c r="B55" s="187"/>
      <c r="C55" s="21" t="s">
        <v>172</v>
      </c>
      <c r="D55" s="22" t="s">
        <v>173</v>
      </c>
      <c r="E55" s="23">
        <v>410</v>
      </c>
      <c r="F55" s="24" t="s">
        <v>91</v>
      </c>
      <c r="G55" s="25">
        <f t="shared" si="31"/>
        <v>10000000</v>
      </c>
      <c r="H55" s="36"/>
      <c r="I55" s="36"/>
      <c r="J55" s="36"/>
      <c r="K55" s="36"/>
      <c r="L55" s="36"/>
      <c r="M55" s="36"/>
      <c r="N55" s="36"/>
      <c r="O55" s="25"/>
      <c r="P55" s="25"/>
      <c r="Q55" s="25"/>
      <c r="R55" s="25"/>
      <c r="S55" s="25"/>
      <c r="T55" s="25"/>
      <c r="U55" s="25">
        <v>10000000</v>
      </c>
      <c r="V55" s="25"/>
      <c r="W55" s="25"/>
      <c r="X55" s="25"/>
      <c r="Y55" s="25"/>
      <c r="Z55" s="25"/>
      <c r="AB55" s="27">
        <f t="shared" si="1"/>
        <v>1</v>
      </c>
      <c r="AC55" s="25">
        <f t="shared" si="32"/>
        <v>10000000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>
        <f>+'[4]ENERO 2016'!$Y$478</f>
        <v>10000000</v>
      </c>
      <c r="AS55" s="25"/>
      <c r="AT55" s="25"/>
      <c r="AU55" s="25"/>
      <c r="AV55" s="25"/>
      <c r="AW55" s="25"/>
      <c r="AX55" s="27">
        <f t="shared" si="3"/>
        <v>0</v>
      </c>
      <c r="AY55" s="25">
        <f t="shared" si="33"/>
        <v>0</v>
      </c>
      <c r="AZ55" s="25">
        <f t="shared" si="34"/>
        <v>0</v>
      </c>
      <c r="BA55" s="25">
        <f t="shared" si="34"/>
        <v>0</v>
      </c>
      <c r="BB55" s="25">
        <f t="shared" si="34"/>
        <v>0</v>
      </c>
      <c r="BC55" s="25">
        <f t="shared" si="63"/>
        <v>0</v>
      </c>
      <c r="BD55" s="25">
        <f t="shared" si="63"/>
        <v>0</v>
      </c>
      <c r="BE55" s="25">
        <f t="shared" si="63"/>
        <v>0</v>
      </c>
      <c r="BF55" s="25">
        <f t="shared" si="63"/>
        <v>0</v>
      </c>
      <c r="BG55" s="25">
        <f t="shared" si="63"/>
        <v>0</v>
      </c>
      <c r="BH55" s="25">
        <f t="shared" si="55"/>
        <v>0</v>
      </c>
      <c r="BI55" s="25">
        <f t="shared" si="64"/>
        <v>0</v>
      </c>
      <c r="BJ55" s="25">
        <f t="shared" si="64"/>
        <v>0</v>
      </c>
      <c r="BK55" s="25">
        <f t="shared" si="64"/>
        <v>0</v>
      </c>
      <c r="BL55" s="25">
        <f t="shared" si="64"/>
        <v>0</v>
      </c>
      <c r="BM55" s="25">
        <f t="shared" si="64"/>
        <v>0</v>
      </c>
      <c r="BN55" s="25">
        <f t="shared" si="64"/>
        <v>0</v>
      </c>
      <c r="BO55" s="25"/>
      <c r="BP55" s="25"/>
      <c r="BQ55" s="25">
        <f t="shared" si="49"/>
        <v>0</v>
      </c>
      <c r="BR55" s="25">
        <f t="shared" si="50"/>
        <v>0</v>
      </c>
      <c r="BS55" s="27">
        <f t="shared" si="10"/>
        <v>1</v>
      </c>
      <c r="BT55" s="25">
        <f t="shared" si="37"/>
        <v>10000000</v>
      </c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>
        <v>10000000</v>
      </c>
      <c r="CJ55" s="25"/>
      <c r="CK55" s="25"/>
      <c r="CL55" s="25"/>
      <c r="CM55" s="25"/>
      <c r="CN55" s="25"/>
      <c r="CO55" s="27">
        <f t="shared" si="12"/>
        <v>0</v>
      </c>
      <c r="CP55" s="25">
        <f t="shared" si="38"/>
        <v>0</v>
      </c>
      <c r="CQ55" s="25">
        <f t="shared" si="39"/>
        <v>0</v>
      </c>
      <c r="CR55" s="25">
        <f t="shared" si="39"/>
        <v>0</v>
      </c>
      <c r="CS55" s="25">
        <f t="shared" si="39"/>
        <v>0</v>
      </c>
      <c r="CT55" s="25">
        <f t="shared" si="39"/>
        <v>0</v>
      </c>
      <c r="CU55" s="25">
        <f t="shared" si="39"/>
        <v>0</v>
      </c>
      <c r="CV55" s="25">
        <f t="shared" si="39"/>
        <v>0</v>
      </c>
      <c r="CW55" s="25">
        <f t="shared" si="58"/>
        <v>0</v>
      </c>
      <c r="CX55" s="25">
        <f t="shared" si="58"/>
        <v>0</v>
      </c>
      <c r="CY55" s="25">
        <f t="shared" si="59"/>
        <v>0</v>
      </c>
      <c r="CZ55" s="25">
        <f t="shared" si="57"/>
        <v>0</v>
      </c>
      <c r="DA55" s="25">
        <f t="shared" si="57"/>
        <v>0</v>
      </c>
      <c r="DB55" s="25">
        <f t="shared" si="57"/>
        <v>0</v>
      </c>
      <c r="DC55" s="25">
        <f t="shared" si="60"/>
        <v>0</v>
      </c>
      <c r="DD55" s="25">
        <f t="shared" si="60"/>
        <v>0</v>
      </c>
      <c r="DE55" s="25">
        <f t="shared" si="60"/>
        <v>0</v>
      </c>
      <c r="DF55" s="25"/>
      <c r="DG55" s="25">
        <f t="shared" si="61"/>
        <v>0</v>
      </c>
      <c r="DH55" s="25">
        <f t="shared" si="56"/>
        <v>0</v>
      </c>
      <c r="DI55" s="25">
        <f t="shared" si="62"/>
        <v>0</v>
      </c>
      <c r="DK55" s="78"/>
      <c r="DL55" s="78"/>
      <c r="DM55" s="276">
        <f t="shared" si="44"/>
        <v>10000000</v>
      </c>
      <c r="DN55" s="277">
        <f t="shared" si="45"/>
        <v>10000000</v>
      </c>
      <c r="DO55" s="78"/>
    </row>
    <row r="56" spans="1:119" ht="38.25" hidden="1" customHeight="1" x14ac:dyDescent="0.25">
      <c r="A56" s="193"/>
      <c r="B56" s="187"/>
      <c r="C56" s="21" t="s">
        <v>174</v>
      </c>
      <c r="D56" s="22" t="s">
        <v>175</v>
      </c>
      <c r="E56" s="23">
        <v>410</v>
      </c>
      <c r="F56" s="24" t="s">
        <v>91</v>
      </c>
      <c r="G56" s="25">
        <f t="shared" si="31"/>
        <v>94368590</v>
      </c>
      <c r="H56" s="36"/>
      <c r="I56" s="36"/>
      <c r="J56" s="36"/>
      <c r="K56" s="36"/>
      <c r="L56" s="36">
        <f>74368590</f>
        <v>74368590</v>
      </c>
      <c r="M56" s="36"/>
      <c r="N56" s="36"/>
      <c r="O56" s="25"/>
      <c r="P56" s="25"/>
      <c r="Q56" s="25"/>
      <c r="R56" s="25"/>
      <c r="S56" s="25"/>
      <c r="T56" s="25"/>
      <c r="U56" s="25">
        <v>20000000</v>
      </c>
      <c r="V56" s="25"/>
      <c r="W56" s="25"/>
      <c r="X56" s="25"/>
      <c r="Y56" s="25"/>
      <c r="Z56" s="25"/>
      <c r="AB56" s="27">
        <f t="shared" si="1"/>
        <v>0.64894196257462367</v>
      </c>
      <c r="AC56" s="25">
        <f t="shared" si="32"/>
        <v>61239738</v>
      </c>
      <c r="AD56" s="25"/>
      <c r="AE56" s="25"/>
      <c r="AF56" s="25"/>
      <c r="AG56" s="25"/>
      <c r="AH56" s="25"/>
      <c r="AI56" s="25">
        <f>+'[1]AGOSTO 2016'!$P$2179</f>
        <v>43061377</v>
      </c>
      <c r="AJ56" s="25"/>
      <c r="AK56" s="25"/>
      <c r="AL56" s="25"/>
      <c r="AM56" s="25"/>
      <c r="AN56" s="25"/>
      <c r="AO56" s="25"/>
      <c r="AP56" s="25"/>
      <c r="AQ56" s="25"/>
      <c r="AR56" s="25">
        <f>+'[7]JUNIO 2016'!$Y$1439</f>
        <v>18178361</v>
      </c>
      <c r="AS56" s="25"/>
      <c r="AT56" s="25"/>
      <c r="AU56" s="25"/>
      <c r="AV56" s="25"/>
      <c r="AW56" s="25"/>
      <c r="AX56" s="27">
        <f t="shared" si="3"/>
        <v>0.35105803742537633</v>
      </c>
      <c r="AY56" s="25">
        <f t="shared" si="33"/>
        <v>33128852</v>
      </c>
      <c r="AZ56" s="25">
        <f t="shared" si="34"/>
        <v>0</v>
      </c>
      <c r="BA56" s="25">
        <f t="shared" si="34"/>
        <v>0</v>
      </c>
      <c r="BB56" s="25">
        <f t="shared" si="34"/>
        <v>0</v>
      </c>
      <c r="BC56" s="25">
        <f t="shared" si="63"/>
        <v>0</v>
      </c>
      <c r="BD56" s="25">
        <f t="shared" si="63"/>
        <v>31307213</v>
      </c>
      <c r="BE56" s="25">
        <f t="shared" si="63"/>
        <v>0</v>
      </c>
      <c r="BF56" s="25">
        <f t="shared" si="63"/>
        <v>0</v>
      </c>
      <c r="BG56" s="25">
        <f t="shared" si="63"/>
        <v>0</v>
      </c>
      <c r="BH56" s="25">
        <f t="shared" si="55"/>
        <v>0</v>
      </c>
      <c r="BI56" s="25">
        <f t="shared" si="64"/>
        <v>0</v>
      </c>
      <c r="BJ56" s="25">
        <f t="shared" si="64"/>
        <v>0</v>
      </c>
      <c r="BK56" s="25">
        <f t="shared" si="64"/>
        <v>0</v>
      </c>
      <c r="BL56" s="25">
        <f t="shared" si="64"/>
        <v>0</v>
      </c>
      <c r="BM56" s="25">
        <f t="shared" si="64"/>
        <v>1821639</v>
      </c>
      <c r="BN56" s="25">
        <f t="shared" si="64"/>
        <v>0</v>
      </c>
      <c r="BO56" s="25"/>
      <c r="BP56" s="25"/>
      <c r="BQ56" s="25">
        <f t="shared" si="49"/>
        <v>0</v>
      </c>
      <c r="BR56" s="25">
        <f t="shared" si="50"/>
        <v>0</v>
      </c>
      <c r="BS56" s="27">
        <f t="shared" si="10"/>
        <v>0.52141319479288606</v>
      </c>
      <c r="BT56" s="25">
        <f t="shared" si="37"/>
        <v>49205028</v>
      </c>
      <c r="BU56" s="25"/>
      <c r="BV56" s="25"/>
      <c r="BW56" s="25"/>
      <c r="BX56" s="25"/>
      <c r="BY56" s="25"/>
      <c r="BZ56" s="25">
        <v>35500000</v>
      </c>
      <c r="CA56" s="25"/>
      <c r="CB56" s="25"/>
      <c r="CC56" s="25"/>
      <c r="CD56" s="25"/>
      <c r="CE56" s="25"/>
      <c r="CF56" s="25"/>
      <c r="CG56" s="25"/>
      <c r="CH56" s="25"/>
      <c r="CI56" s="25">
        <f>+'[1]AGOSTO 2016'!$H$2180+'[1]AGOSTO 2016'!$H$2183+'[1]AGOSTO 2016'!$H$2185+'[1]AGOSTO 2016'!$H$2187+'[1]AGOSTO 2016'!$H$2190+'[1]AGOSTO 2016'!$H$2191</f>
        <v>13705028</v>
      </c>
      <c r="CJ56" s="25"/>
      <c r="CK56" s="25"/>
      <c r="CL56" s="25"/>
      <c r="CM56" s="25"/>
      <c r="CN56" s="25"/>
      <c r="CO56" s="27">
        <f t="shared" si="12"/>
        <v>0.47858680520711394</v>
      </c>
      <c r="CP56" s="25">
        <f t="shared" si="38"/>
        <v>45163562</v>
      </c>
      <c r="CQ56" s="25">
        <f t="shared" si="39"/>
        <v>0</v>
      </c>
      <c r="CR56" s="25">
        <f t="shared" si="39"/>
        <v>0</v>
      </c>
      <c r="CS56" s="25">
        <f t="shared" si="39"/>
        <v>0</v>
      </c>
      <c r="CT56" s="25">
        <f t="shared" si="39"/>
        <v>0</v>
      </c>
      <c r="CU56" s="25">
        <f t="shared" si="39"/>
        <v>38868590</v>
      </c>
      <c r="CV56" s="25">
        <f t="shared" si="39"/>
        <v>0</v>
      </c>
      <c r="CW56" s="25">
        <f t="shared" si="58"/>
        <v>0</v>
      </c>
      <c r="CX56" s="25">
        <f t="shared" si="58"/>
        <v>0</v>
      </c>
      <c r="CY56" s="25">
        <f t="shared" si="59"/>
        <v>0</v>
      </c>
      <c r="CZ56" s="25">
        <f t="shared" si="57"/>
        <v>0</v>
      </c>
      <c r="DA56" s="25">
        <f t="shared" si="57"/>
        <v>0</v>
      </c>
      <c r="DB56" s="25">
        <f t="shared" si="57"/>
        <v>0</v>
      </c>
      <c r="DC56" s="25">
        <f t="shared" si="60"/>
        <v>0</v>
      </c>
      <c r="DD56" s="25">
        <f t="shared" si="60"/>
        <v>6294972</v>
      </c>
      <c r="DE56" s="25">
        <f t="shared" si="60"/>
        <v>0</v>
      </c>
      <c r="DF56" s="25"/>
      <c r="DG56" s="25">
        <f t="shared" si="61"/>
        <v>0</v>
      </c>
      <c r="DH56" s="25">
        <f t="shared" si="56"/>
        <v>0</v>
      </c>
      <c r="DI56" s="25">
        <f t="shared" si="62"/>
        <v>0</v>
      </c>
      <c r="DK56" s="78"/>
      <c r="DL56" s="78"/>
      <c r="DM56" s="276">
        <f t="shared" si="44"/>
        <v>94368590</v>
      </c>
      <c r="DN56" s="277">
        <f t="shared" si="45"/>
        <v>49205028</v>
      </c>
      <c r="DO56" s="78"/>
    </row>
    <row r="57" spans="1:119" ht="34.5" hidden="1" customHeight="1" x14ac:dyDescent="0.25">
      <c r="A57" s="194"/>
      <c r="B57" s="188"/>
      <c r="C57" s="21" t="s">
        <v>176</v>
      </c>
      <c r="D57" s="22" t="s">
        <v>177</v>
      </c>
      <c r="E57" s="23">
        <v>410</v>
      </c>
      <c r="F57" s="24" t="s">
        <v>91</v>
      </c>
      <c r="G57" s="25">
        <f t="shared" si="31"/>
        <v>16000000</v>
      </c>
      <c r="H57" s="36"/>
      <c r="I57" s="36"/>
      <c r="J57" s="36"/>
      <c r="K57" s="36"/>
      <c r="L57" s="36"/>
      <c r="M57" s="36"/>
      <c r="N57" s="36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>
        <f>16000000</f>
        <v>16000000</v>
      </c>
      <c r="AB57" s="27">
        <f t="shared" si="1"/>
        <v>1</v>
      </c>
      <c r="AC57" s="25">
        <f t="shared" si="32"/>
        <v>16000000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>
        <f>+'[2]MARZO 2016 ULTIMO'!$AF$846</f>
        <v>16000000</v>
      </c>
      <c r="AX57" s="27">
        <f t="shared" si="3"/>
        <v>0</v>
      </c>
      <c r="AY57" s="25">
        <f t="shared" si="33"/>
        <v>0</v>
      </c>
      <c r="AZ57" s="25">
        <f t="shared" si="34"/>
        <v>0</v>
      </c>
      <c r="BA57" s="25">
        <f t="shared" si="34"/>
        <v>0</v>
      </c>
      <c r="BB57" s="25">
        <f t="shared" si="34"/>
        <v>0</v>
      </c>
      <c r="BC57" s="25">
        <f t="shared" si="63"/>
        <v>0</v>
      </c>
      <c r="BD57" s="25">
        <f t="shared" si="63"/>
        <v>0</v>
      </c>
      <c r="BE57" s="25">
        <f t="shared" si="63"/>
        <v>0</v>
      </c>
      <c r="BF57" s="25">
        <f t="shared" si="63"/>
        <v>0</v>
      </c>
      <c r="BG57" s="25">
        <f t="shared" si="63"/>
        <v>0</v>
      </c>
      <c r="BH57" s="25">
        <f t="shared" si="55"/>
        <v>0</v>
      </c>
      <c r="BI57" s="25">
        <f t="shared" si="64"/>
        <v>0</v>
      </c>
      <c r="BJ57" s="25">
        <f t="shared" si="64"/>
        <v>0</v>
      </c>
      <c r="BK57" s="25">
        <f t="shared" si="64"/>
        <v>0</v>
      </c>
      <c r="BL57" s="25">
        <f t="shared" si="64"/>
        <v>0</v>
      </c>
      <c r="BM57" s="25">
        <f t="shared" si="64"/>
        <v>0</v>
      </c>
      <c r="BN57" s="25">
        <f t="shared" si="64"/>
        <v>0</v>
      </c>
      <c r="BO57" s="25"/>
      <c r="BP57" s="25"/>
      <c r="BQ57" s="25">
        <f t="shared" si="49"/>
        <v>0</v>
      </c>
      <c r="BR57" s="25">
        <f t="shared" si="50"/>
        <v>0</v>
      </c>
      <c r="BS57" s="27">
        <f t="shared" si="10"/>
        <v>1</v>
      </c>
      <c r="BT57" s="25">
        <f t="shared" si="37"/>
        <v>16000000</v>
      </c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>
        <f>+'[6]JULIO 2016'!$H$1616</f>
        <v>16000000</v>
      </c>
      <c r="CO57" s="27">
        <f t="shared" si="12"/>
        <v>0</v>
      </c>
      <c r="CP57" s="25">
        <f t="shared" si="38"/>
        <v>0</v>
      </c>
      <c r="CQ57" s="25">
        <f t="shared" si="39"/>
        <v>0</v>
      </c>
      <c r="CR57" s="25">
        <f t="shared" si="39"/>
        <v>0</v>
      </c>
      <c r="CS57" s="25">
        <f t="shared" si="39"/>
        <v>0</v>
      </c>
      <c r="CT57" s="25">
        <f t="shared" si="39"/>
        <v>0</v>
      </c>
      <c r="CU57" s="25">
        <f t="shared" si="39"/>
        <v>0</v>
      </c>
      <c r="CV57" s="25">
        <f t="shared" si="39"/>
        <v>0</v>
      </c>
      <c r="CW57" s="25">
        <f t="shared" si="58"/>
        <v>0</v>
      </c>
      <c r="CX57" s="25">
        <f t="shared" si="58"/>
        <v>0</v>
      </c>
      <c r="CY57" s="25">
        <f t="shared" si="59"/>
        <v>0</v>
      </c>
      <c r="CZ57" s="25">
        <f t="shared" si="57"/>
        <v>0</v>
      </c>
      <c r="DA57" s="25">
        <f t="shared" si="57"/>
        <v>0</v>
      </c>
      <c r="DB57" s="25">
        <f t="shared" si="57"/>
        <v>0</v>
      </c>
      <c r="DC57" s="25">
        <f t="shared" si="60"/>
        <v>0</v>
      </c>
      <c r="DD57" s="25">
        <f t="shared" si="60"/>
        <v>0</v>
      </c>
      <c r="DE57" s="25">
        <f t="shared" si="60"/>
        <v>0</v>
      </c>
      <c r="DF57" s="25"/>
      <c r="DG57" s="25">
        <f t="shared" si="61"/>
        <v>0</v>
      </c>
      <c r="DH57" s="25">
        <f t="shared" si="56"/>
        <v>0</v>
      </c>
      <c r="DI57" s="25">
        <f t="shared" si="62"/>
        <v>0</v>
      </c>
      <c r="DK57" s="78"/>
      <c r="DL57" s="78"/>
      <c r="DM57" s="276">
        <f t="shared" si="44"/>
        <v>16000000</v>
      </c>
      <c r="DN57" s="277">
        <f t="shared" si="45"/>
        <v>16000000</v>
      </c>
      <c r="DO57" s="78"/>
    </row>
    <row r="58" spans="1:119" s="47" customFormat="1" ht="18" customHeight="1" thickTop="1" thickBot="1" x14ac:dyDescent="0.3">
      <c r="A58" s="61"/>
      <c r="B58" s="244" t="s">
        <v>377</v>
      </c>
      <c r="C58" s="244"/>
      <c r="D58" s="244"/>
      <c r="E58" s="244"/>
      <c r="F58" s="62"/>
      <c r="G58" s="63">
        <f t="shared" ref="G58:Z58" si="65">SUM(G21:G57)</f>
        <v>5225565856</v>
      </c>
      <c r="H58" s="63">
        <f t="shared" si="65"/>
        <v>0</v>
      </c>
      <c r="I58" s="63">
        <f t="shared" si="65"/>
        <v>1563096695</v>
      </c>
      <c r="J58" s="63">
        <f t="shared" si="65"/>
        <v>0</v>
      </c>
      <c r="K58" s="63">
        <f t="shared" si="65"/>
        <v>0</v>
      </c>
      <c r="L58" s="63">
        <f t="shared" si="65"/>
        <v>74368590</v>
      </c>
      <c r="M58" s="63">
        <f t="shared" si="65"/>
        <v>0</v>
      </c>
      <c r="N58" s="63">
        <f t="shared" si="65"/>
        <v>0</v>
      </c>
      <c r="O58" s="63">
        <f t="shared" si="65"/>
        <v>0</v>
      </c>
      <c r="P58" s="63">
        <f t="shared" si="65"/>
        <v>0</v>
      </c>
      <c r="Q58" s="63">
        <f t="shared" si="65"/>
        <v>0</v>
      </c>
      <c r="R58" s="63">
        <f t="shared" si="65"/>
        <v>1802332849</v>
      </c>
      <c r="S58" s="63">
        <f t="shared" si="65"/>
        <v>387696735</v>
      </c>
      <c r="T58" s="63">
        <f t="shared" si="65"/>
        <v>0</v>
      </c>
      <c r="U58" s="63">
        <f t="shared" si="65"/>
        <v>1054833768</v>
      </c>
      <c r="V58" s="63">
        <f t="shared" si="65"/>
        <v>0</v>
      </c>
      <c r="W58" s="63">
        <f t="shared" si="65"/>
        <v>51295383</v>
      </c>
      <c r="X58" s="63">
        <f t="shared" si="65"/>
        <v>0</v>
      </c>
      <c r="Y58" s="63">
        <f t="shared" si="65"/>
        <v>204741836</v>
      </c>
      <c r="Z58" s="63">
        <f t="shared" si="65"/>
        <v>87200000</v>
      </c>
      <c r="AB58" s="45">
        <f t="shared" si="1"/>
        <v>0.903539422353421</v>
      </c>
      <c r="AC58" s="63">
        <f>SUM(AC21:AC57)</f>
        <v>4721504755</v>
      </c>
      <c r="AD58" s="63"/>
      <c r="AE58" s="63">
        <f t="shared" ref="AE58:AW58" si="66">SUM(AE21:AE57)</f>
        <v>0</v>
      </c>
      <c r="AF58" s="63">
        <f t="shared" si="66"/>
        <v>1545956457</v>
      </c>
      <c r="AG58" s="63">
        <f t="shared" si="66"/>
        <v>0</v>
      </c>
      <c r="AH58" s="63">
        <f t="shared" si="66"/>
        <v>0</v>
      </c>
      <c r="AI58" s="63">
        <f t="shared" si="66"/>
        <v>43061377</v>
      </c>
      <c r="AJ58" s="63">
        <f t="shared" si="66"/>
        <v>0</v>
      </c>
      <c r="AK58" s="63">
        <f t="shared" si="66"/>
        <v>0</v>
      </c>
      <c r="AL58" s="63">
        <f t="shared" si="66"/>
        <v>0</v>
      </c>
      <c r="AM58" s="63">
        <f t="shared" si="66"/>
        <v>0</v>
      </c>
      <c r="AN58" s="63">
        <f t="shared" si="66"/>
        <v>0</v>
      </c>
      <c r="AO58" s="63">
        <f t="shared" si="66"/>
        <v>1763057320</v>
      </c>
      <c r="AP58" s="63">
        <f t="shared" si="66"/>
        <v>304609464</v>
      </c>
      <c r="AQ58" s="63">
        <f t="shared" si="66"/>
        <v>0</v>
      </c>
      <c r="AR58" s="63">
        <f t="shared" si="66"/>
        <v>832240418</v>
      </c>
      <c r="AS58" s="63">
        <f t="shared" si="66"/>
        <v>0</v>
      </c>
      <c r="AT58" s="63">
        <f t="shared" si="66"/>
        <v>51295383</v>
      </c>
      <c r="AU58" s="63">
        <f t="shared" si="66"/>
        <v>0</v>
      </c>
      <c r="AV58" s="63">
        <f t="shared" si="66"/>
        <v>114321836</v>
      </c>
      <c r="AW58" s="63">
        <f t="shared" si="66"/>
        <v>66962500</v>
      </c>
      <c r="AX58" s="45">
        <f t="shared" si="3"/>
        <v>9.6460577646579004E-2</v>
      </c>
      <c r="AY58" s="63">
        <f t="shared" ref="AY58:BR58" si="67">SUM(AY21:AY57)</f>
        <v>504061101</v>
      </c>
      <c r="AZ58" s="63">
        <f t="shared" si="67"/>
        <v>0</v>
      </c>
      <c r="BA58" s="63">
        <f t="shared" si="67"/>
        <v>17140238</v>
      </c>
      <c r="BB58" s="63">
        <f t="shared" si="67"/>
        <v>0</v>
      </c>
      <c r="BC58" s="63">
        <f t="shared" si="67"/>
        <v>0</v>
      </c>
      <c r="BD58" s="63">
        <f t="shared" si="67"/>
        <v>31307213</v>
      </c>
      <c r="BE58" s="63">
        <f t="shared" si="67"/>
        <v>0</v>
      </c>
      <c r="BF58" s="63">
        <f t="shared" si="67"/>
        <v>0</v>
      </c>
      <c r="BG58" s="63">
        <f t="shared" si="67"/>
        <v>0</v>
      </c>
      <c r="BH58" s="63">
        <f t="shared" si="67"/>
        <v>0</v>
      </c>
      <c r="BI58" s="63">
        <f t="shared" si="67"/>
        <v>0</v>
      </c>
      <c r="BJ58" s="63">
        <f t="shared" si="67"/>
        <v>39275529</v>
      </c>
      <c r="BK58" s="63">
        <f t="shared" si="67"/>
        <v>83087271</v>
      </c>
      <c r="BL58" s="63">
        <f t="shared" si="67"/>
        <v>0</v>
      </c>
      <c r="BM58" s="63">
        <f t="shared" si="67"/>
        <v>222593350</v>
      </c>
      <c r="BN58" s="63">
        <f t="shared" si="67"/>
        <v>0</v>
      </c>
      <c r="BO58" s="63">
        <f t="shared" si="67"/>
        <v>0</v>
      </c>
      <c r="BP58" s="63">
        <f t="shared" si="67"/>
        <v>0</v>
      </c>
      <c r="BQ58" s="63">
        <f t="shared" si="67"/>
        <v>90420000</v>
      </c>
      <c r="BR58" s="63">
        <f t="shared" si="67"/>
        <v>20237500</v>
      </c>
      <c r="BS58" s="45">
        <f t="shared" si="10"/>
        <v>0.58793228114662577</v>
      </c>
      <c r="BT58" s="63">
        <f t="shared" ref="BT58:DI58" si="68">SUM(BT21:BT57)</f>
        <v>3072278854</v>
      </c>
      <c r="BU58" s="63">
        <f t="shared" si="68"/>
        <v>0</v>
      </c>
      <c r="BV58" s="63">
        <f t="shared" si="68"/>
        <v>0</v>
      </c>
      <c r="BW58" s="63">
        <f t="shared" si="68"/>
        <v>824157050</v>
      </c>
      <c r="BX58" s="63">
        <f t="shared" si="68"/>
        <v>0</v>
      </c>
      <c r="BY58" s="63">
        <f t="shared" si="68"/>
        <v>0</v>
      </c>
      <c r="BZ58" s="63">
        <f t="shared" si="68"/>
        <v>35500000</v>
      </c>
      <c r="CA58" s="63">
        <f t="shared" si="68"/>
        <v>0</v>
      </c>
      <c r="CB58" s="63">
        <f t="shared" si="68"/>
        <v>0</v>
      </c>
      <c r="CC58" s="63">
        <f t="shared" si="68"/>
        <v>0</v>
      </c>
      <c r="CD58" s="63">
        <f t="shared" si="68"/>
        <v>0</v>
      </c>
      <c r="CE58" s="63">
        <f t="shared" si="68"/>
        <v>0</v>
      </c>
      <c r="CF58" s="63">
        <f t="shared" si="68"/>
        <v>1085446388</v>
      </c>
      <c r="CG58" s="63">
        <f t="shared" si="68"/>
        <v>280642464</v>
      </c>
      <c r="CH58" s="63">
        <f t="shared" si="68"/>
        <v>0</v>
      </c>
      <c r="CI58" s="63">
        <f t="shared" si="68"/>
        <v>766242889</v>
      </c>
      <c r="CJ58" s="63">
        <f t="shared" si="68"/>
        <v>0</v>
      </c>
      <c r="CK58" s="63">
        <f t="shared" si="68"/>
        <v>0</v>
      </c>
      <c r="CL58" s="63">
        <f t="shared" si="68"/>
        <v>0</v>
      </c>
      <c r="CM58" s="63">
        <f t="shared" si="68"/>
        <v>23350298</v>
      </c>
      <c r="CN58" s="63">
        <f t="shared" si="68"/>
        <v>56939765</v>
      </c>
      <c r="CO58" s="45">
        <f t="shared" si="12"/>
        <v>0.41206771885337423</v>
      </c>
      <c r="CP58" s="63">
        <f t="shared" si="68"/>
        <v>2153287002</v>
      </c>
      <c r="CQ58" s="63">
        <f t="shared" si="68"/>
        <v>0</v>
      </c>
      <c r="CR58" s="63">
        <f t="shared" si="68"/>
        <v>738939645</v>
      </c>
      <c r="CS58" s="63">
        <f t="shared" si="68"/>
        <v>0</v>
      </c>
      <c r="CT58" s="63">
        <f t="shared" si="68"/>
        <v>0</v>
      </c>
      <c r="CU58" s="63">
        <f t="shared" si="68"/>
        <v>38868590</v>
      </c>
      <c r="CV58" s="63">
        <f t="shared" si="68"/>
        <v>0</v>
      </c>
      <c r="CW58" s="63">
        <f t="shared" si="68"/>
        <v>0</v>
      </c>
      <c r="CX58" s="63">
        <f t="shared" si="68"/>
        <v>0</v>
      </c>
      <c r="CY58" s="63">
        <f t="shared" si="68"/>
        <v>0</v>
      </c>
      <c r="CZ58" s="63">
        <f t="shared" si="68"/>
        <v>0</v>
      </c>
      <c r="DA58" s="63">
        <f t="shared" si="68"/>
        <v>716886461</v>
      </c>
      <c r="DB58" s="63">
        <f t="shared" si="68"/>
        <v>107054271</v>
      </c>
      <c r="DC58" s="63">
        <f t="shared" si="68"/>
        <v>0</v>
      </c>
      <c r="DD58" s="63">
        <f t="shared" si="68"/>
        <v>288590879</v>
      </c>
      <c r="DE58" s="63">
        <f t="shared" si="68"/>
        <v>0</v>
      </c>
      <c r="DF58" s="63">
        <f t="shared" si="68"/>
        <v>51295383</v>
      </c>
      <c r="DG58" s="63">
        <f t="shared" si="68"/>
        <v>0</v>
      </c>
      <c r="DH58" s="63">
        <f t="shared" si="68"/>
        <v>181391538</v>
      </c>
      <c r="DI58" s="64">
        <f t="shared" si="68"/>
        <v>30260235</v>
      </c>
      <c r="DK58" s="78" t="s">
        <v>393</v>
      </c>
      <c r="DL58" s="78"/>
      <c r="DM58" s="276">
        <f t="shared" si="44"/>
        <v>5225565856</v>
      </c>
      <c r="DN58" s="277">
        <f t="shared" si="45"/>
        <v>3072278854</v>
      </c>
      <c r="DO58" s="278">
        <f t="shared" ref="DO58:DO121" si="69">+BS58</f>
        <v>0.58793228114662577</v>
      </c>
    </row>
    <row r="59" spans="1:119" ht="55.5" hidden="1" customHeight="1" thickTop="1" x14ac:dyDescent="0.25">
      <c r="A59" s="183" t="s">
        <v>179</v>
      </c>
      <c r="B59" s="186" t="s">
        <v>180</v>
      </c>
      <c r="C59" s="21" t="s">
        <v>181</v>
      </c>
      <c r="D59" s="22" t="s">
        <v>182</v>
      </c>
      <c r="E59" s="23">
        <v>520</v>
      </c>
      <c r="F59" s="24" t="s">
        <v>183</v>
      </c>
      <c r="G59" s="25">
        <f t="shared" ref="G59:G90" si="70">SUM(H59:Z59)</f>
        <v>109184357</v>
      </c>
      <c r="H59" s="25"/>
      <c r="I59" s="25"/>
      <c r="J59" s="25"/>
      <c r="K59" s="25"/>
      <c r="L59" s="25">
        <f>50000000</f>
        <v>50000000</v>
      </c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>
        <f>50000000+8000000+1184357</f>
        <v>59184357</v>
      </c>
      <c r="AB59" s="27">
        <f t="shared" si="1"/>
        <v>0.88827318917122899</v>
      </c>
      <c r="AC59" s="25">
        <f t="shared" ref="AC59:AC90" si="71">SUM(AD59:AW59)</f>
        <v>96985537</v>
      </c>
      <c r="AD59" s="25"/>
      <c r="AE59" s="25"/>
      <c r="AF59" s="25"/>
      <c r="AG59" s="25"/>
      <c r="AH59" s="25"/>
      <c r="AI59" s="25">
        <f>+'[1]AGOSTO 2016'!$P$2531</f>
        <v>49214507</v>
      </c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>
        <f>+'[1]AGOSTO 2016'!$AG$2531</f>
        <v>47771030</v>
      </c>
      <c r="AX59" s="27">
        <f t="shared" si="3"/>
        <v>0.11172681082877101</v>
      </c>
      <c r="AY59" s="25">
        <f t="shared" ref="AY59:AY90" si="72">SUM(AZ59:BR59)</f>
        <v>12198820</v>
      </c>
      <c r="AZ59" s="25">
        <f t="shared" ref="AZ59:BN90" si="73">H59-AE59</f>
        <v>0</v>
      </c>
      <c r="BA59" s="25">
        <f t="shared" si="73"/>
        <v>0</v>
      </c>
      <c r="BB59" s="25">
        <f t="shared" si="73"/>
        <v>0</v>
      </c>
      <c r="BC59" s="25">
        <f t="shared" ref="BC59:BN68" si="74">+K59-AH59</f>
        <v>0</v>
      </c>
      <c r="BD59" s="25">
        <f t="shared" si="74"/>
        <v>785493</v>
      </c>
      <c r="BE59" s="25">
        <f t="shared" si="74"/>
        <v>0</v>
      </c>
      <c r="BF59" s="25">
        <f t="shared" si="74"/>
        <v>0</v>
      </c>
      <c r="BG59" s="25">
        <f t="shared" si="74"/>
        <v>0</v>
      </c>
      <c r="BH59" s="25">
        <f t="shared" si="74"/>
        <v>0</v>
      </c>
      <c r="BI59" s="25">
        <f t="shared" si="74"/>
        <v>0</v>
      </c>
      <c r="BJ59" s="25">
        <f t="shared" si="74"/>
        <v>0</v>
      </c>
      <c r="BK59" s="25">
        <f t="shared" si="74"/>
        <v>0</v>
      </c>
      <c r="BL59" s="25">
        <f t="shared" si="74"/>
        <v>0</v>
      </c>
      <c r="BM59" s="25">
        <f t="shared" si="74"/>
        <v>0</v>
      </c>
      <c r="BN59" s="25">
        <f t="shared" si="74"/>
        <v>0</v>
      </c>
      <c r="BO59" s="25"/>
      <c r="BP59" s="25"/>
      <c r="BQ59" s="25">
        <f t="shared" ref="BQ59:BQ90" si="75">Y59-AV59</f>
        <v>0</v>
      </c>
      <c r="BR59" s="25">
        <f t="shared" ref="BR59:BR68" si="76">+Z59-AW59</f>
        <v>11413327</v>
      </c>
      <c r="BS59" s="27">
        <f t="shared" si="10"/>
        <v>0.88827318917122899</v>
      </c>
      <c r="BT59" s="25">
        <f t="shared" ref="BT59:BT90" si="77">SUM(BU59:CN59)</f>
        <v>96985537</v>
      </c>
      <c r="BU59" s="25"/>
      <c r="BV59" s="25"/>
      <c r="BW59" s="25"/>
      <c r="BX59" s="25"/>
      <c r="BY59" s="25"/>
      <c r="BZ59" s="25">
        <f>+'[1]AGOSTO 2016'!$P$2531</f>
        <v>49214507</v>
      </c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>
        <f>+'[1]AGOSTO 2016'!$AG$2531</f>
        <v>47771030</v>
      </c>
      <c r="CO59" s="27">
        <f t="shared" ref="CO59:CO91" si="78">1-BS59</f>
        <v>0.11172681082877101</v>
      </c>
      <c r="CP59" s="25">
        <f t="shared" ref="CP59:CP90" si="79">SUM(CQ59:DI59)</f>
        <v>12198820</v>
      </c>
      <c r="CQ59" s="25">
        <f t="shared" ref="CQ59:CY74" si="80">H59-BV59</f>
        <v>0</v>
      </c>
      <c r="CR59" s="25">
        <f t="shared" si="80"/>
        <v>0</v>
      </c>
      <c r="CS59" s="25">
        <f t="shared" si="80"/>
        <v>0</v>
      </c>
      <c r="CT59" s="25">
        <f t="shared" si="80"/>
        <v>0</v>
      </c>
      <c r="CU59" s="25">
        <f t="shared" si="80"/>
        <v>785493</v>
      </c>
      <c r="CV59" s="25">
        <f t="shared" si="80"/>
        <v>0</v>
      </c>
      <c r="CW59" s="25">
        <f t="shared" ref="CW59:CY68" si="81">+N59-CB59</f>
        <v>0</v>
      </c>
      <c r="CX59" s="25">
        <f t="shared" si="81"/>
        <v>0</v>
      </c>
      <c r="CY59" s="25">
        <f t="shared" si="81"/>
        <v>0</v>
      </c>
      <c r="CZ59" s="25">
        <f t="shared" ref="CZ59:DE89" si="82">Q59-CE59</f>
        <v>0</v>
      </c>
      <c r="DA59" s="25">
        <f t="shared" si="82"/>
        <v>0</v>
      </c>
      <c r="DB59" s="25">
        <f t="shared" si="82"/>
        <v>0</v>
      </c>
      <c r="DC59" s="25">
        <f t="shared" ref="DC59:DE68" si="83">+T59-CH59</f>
        <v>0</v>
      </c>
      <c r="DD59" s="25">
        <f t="shared" si="83"/>
        <v>0</v>
      </c>
      <c r="DE59" s="25">
        <f t="shared" si="83"/>
        <v>0</v>
      </c>
      <c r="DF59" s="25"/>
      <c r="DG59" s="25">
        <f t="shared" ref="DG59:DI68" si="84">+X59-CL59</f>
        <v>0</v>
      </c>
      <c r="DH59" s="56">
        <f t="shared" si="84"/>
        <v>0</v>
      </c>
      <c r="DI59" s="25">
        <f t="shared" si="84"/>
        <v>11413327</v>
      </c>
      <c r="DK59" s="78"/>
      <c r="DL59" s="78"/>
      <c r="DM59" s="276">
        <f t="shared" si="44"/>
        <v>109184357</v>
      </c>
      <c r="DN59" s="277">
        <f t="shared" si="45"/>
        <v>96985537</v>
      </c>
      <c r="DO59" s="278">
        <f t="shared" si="69"/>
        <v>0.88827318917122899</v>
      </c>
    </row>
    <row r="60" spans="1:119" ht="35.25" hidden="1" customHeight="1" x14ac:dyDescent="0.25">
      <c r="A60" s="184"/>
      <c r="B60" s="187"/>
      <c r="C60" s="21" t="s">
        <v>184</v>
      </c>
      <c r="D60" s="22" t="s">
        <v>185</v>
      </c>
      <c r="E60" s="23">
        <v>520</v>
      </c>
      <c r="F60" s="24" t="s">
        <v>186</v>
      </c>
      <c r="G60" s="25">
        <f t="shared" si="70"/>
        <v>4000000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>
        <f>2000000+2000000</f>
        <v>4000000</v>
      </c>
      <c r="AB60" s="27">
        <f t="shared" si="1"/>
        <v>0.25</v>
      </c>
      <c r="AC60" s="25">
        <f t="shared" si="71"/>
        <v>1000000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>
        <f>+'[3]ABRIL 2016'!$G$1362</f>
        <v>1000000</v>
      </c>
      <c r="AX60" s="27">
        <f t="shared" si="3"/>
        <v>0.75</v>
      </c>
      <c r="AY60" s="25">
        <f t="shared" si="72"/>
        <v>3000000</v>
      </c>
      <c r="AZ60" s="25">
        <f t="shared" si="73"/>
        <v>0</v>
      </c>
      <c r="BA60" s="25">
        <f t="shared" si="73"/>
        <v>0</v>
      </c>
      <c r="BB60" s="25">
        <f t="shared" si="73"/>
        <v>0</v>
      </c>
      <c r="BC60" s="25">
        <f t="shared" si="74"/>
        <v>0</v>
      </c>
      <c r="BD60" s="25">
        <f t="shared" si="74"/>
        <v>0</v>
      </c>
      <c r="BE60" s="25">
        <f t="shared" si="74"/>
        <v>0</v>
      </c>
      <c r="BF60" s="25">
        <f t="shared" si="74"/>
        <v>0</v>
      </c>
      <c r="BG60" s="25">
        <f t="shared" si="74"/>
        <v>0</v>
      </c>
      <c r="BH60" s="25">
        <f t="shared" si="74"/>
        <v>0</v>
      </c>
      <c r="BI60" s="25">
        <f t="shared" si="74"/>
        <v>0</v>
      </c>
      <c r="BJ60" s="25">
        <f t="shared" si="74"/>
        <v>0</v>
      </c>
      <c r="BK60" s="25">
        <f t="shared" si="74"/>
        <v>0</v>
      </c>
      <c r="BL60" s="25">
        <f t="shared" si="74"/>
        <v>0</v>
      </c>
      <c r="BM60" s="25">
        <f t="shared" si="74"/>
        <v>0</v>
      </c>
      <c r="BN60" s="25">
        <f t="shared" si="74"/>
        <v>0</v>
      </c>
      <c r="BO60" s="25"/>
      <c r="BP60" s="25"/>
      <c r="BQ60" s="25">
        <f t="shared" si="75"/>
        <v>0</v>
      </c>
      <c r="BR60" s="25">
        <f t="shared" si="76"/>
        <v>3000000</v>
      </c>
      <c r="BS60" s="27">
        <f t="shared" si="10"/>
        <v>0.25</v>
      </c>
      <c r="BT60" s="25">
        <f t="shared" si="77"/>
        <v>1000000</v>
      </c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>
        <f>+'[3]ABRIL 2016'!$H$1359</f>
        <v>1000000</v>
      </c>
      <c r="CO60" s="27">
        <f t="shared" si="78"/>
        <v>0.75</v>
      </c>
      <c r="CP60" s="25">
        <f t="shared" si="79"/>
        <v>3000000</v>
      </c>
      <c r="CQ60" s="25">
        <f t="shared" si="80"/>
        <v>0</v>
      </c>
      <c r="CR60" s="25">
        <f t="shared" si="80"/>
        <v>0</v>
      </c>
      <c r="CS60" s="25">
        <f t="shared" si="80"/>
        <v>0</v>
      </c>
      <c r="CT60" s="25">
        <f t="shared" si="80"/>
        <v>0</v>
      </c>
      <c r="CU60" s="25">
        <f t="shared" si="80"/>
        <v>0</v>
      </c>
      <c r="CV60" s="25">
        <f t="shared" si="80"/>
        <v>0</v>
      </c>
      <c r="CW60" s="25">
        <f t="shared" si="81"/>
        <v>0</v>
      </c>
      <c r="CX60" s="25">
        <f t="shared" si="81"/>
        <v>0</v>
      </c>
      <c r="CY60" s="25">
        <f t="shared" si="81"/>
        <v>0</v>
      </c>
      <c r="CZ60" s="25">
        <f t="shared" si="82"/>
        <v>0</v>
      </c>
      <c r="DA60" s="25">
        <f t="shared" si="82"/>
        <v>0</v>
      </c>
      <c r="DB60" s="25">
        <f t="shared" si="82"/>
        <v>0</v>
      </c>
      <c r="DC60" s="25">
        <f t="shared" si="83"/>
        <v>0</v>
      </c>
      <c r="DD60" s="25">
        <f t="shared" si="83"/>
        <v>0</v>
      </c>
      <c r="DE60" s="25">
        <f t="shared" si="83"/>
        <v>0</v>
      </c>
      <c r="DF60" s="25"/>
      <c r="DG60" s="25">
        <f t="shared" si="84"/>
        <v>0</v>
      </c>
      <c r="DH60" s="56">
        <f t="shared" si="84"/>
        <v>0</v>
      </c>
      <c r="DI60" s="25">
        <f t="shared" si="84"/>
        <v>3000000</v>
      </c>
      <c r="DK60" s="78"/>
      <c r="DL60" s="78"/>
      <c r="DM60" s="276">
        <f t="shared" si="44"/>
        <v>4000000</v>
      </c>
      <c r="DN60" s="277">
        <f t="shared" si="45"/>
        <v>1000000</v>
      </c>
      <c r="DO60" s="278">
        <f t="shared" si="69"/>
        <v>0.25</v>
      </c>
    </row>
    <row r="61" spans="1:119" ht="36.75" hidden="1" customHeight="1" x14ac:dyDescent="0.25">
      <c r="A61" s="184"/>
      <c r="B61" s="188"/>
      <c r="C61" s="21" t="s">
        <v>187</v>
      </c>
      <c r="D61" s="22" t="s">
        <v>188</v>
      </c>
      <c r="E61" s="23">
        <v>520</v>
      </c>
      <c r="F61" s="24" t="s">
        <v>76</v>
      </c>
      <c r="G61" s="25">
        <f t="shared" si="70"/>
        <v>3000000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>
        <v>3000000</v>
      </c>
      <c r="AB61" s="27">
        <f t="shared" si="1"/>
        <v>1</v>
      </c>
      <c r="AC61" s="25">
        <f t="shared" si="71"/>
        <v>3000000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>
        <f>+'[7]JUNIO 2016'!$G$1784</f>
        <v>3000000</v>
      </c>
      <c r="AX61" s="27">
        <f t="shared" si="3"/>
        <v>0</v>
      </c>
      <c r="AY61" s="25">
        <f t="shared" si="72"/>
        <v>0</v>
      </c>
      <c r="AZ61" s="25">
        <f t="shared" si="73"/>
        <v>0</v>
      </c>
      <c r="BA61" s="25">
        <f t="shared" si="73"/>
        <v>0</v>
      </c>
      <c r="BB61" s="25">
        <f t="shared" si="73"/>
        <v>0</v>
      </c>
      <c r="BC61" s="25">
        <f t="shared" si="74"/>
        <v>0</v>
      </c>
      <c r="BD61" s="25">
        <f t="shared" si="74"/>
        <v>0</v>
      </c>
      <c r="BE61" s="25">
        <f t="shared" si="74"/>
        <v>0</v>
      </c>
      <c r="BF61" s="25">
        <f t="shared" si="74"/>
        <v>0</v>
      </c>
      <c r="BG61" s="25">
        <f t="shared" si="74"/>
        <v>0</v>
      </c>
      <c r="BH61" s="25">
        <f t="shared" si="74"/>
        <v>0</v>
      </c>
      <c r="BI61" s="25">
        <f t="shared" si="74"/>
        <v>0</v>
      </c>
      <c r="BJ61" s="25">
        <f t="shared" si="74"/>
        <v>0</v>
      </c>
      <c r="BK61" s="25">
        <f t="shared" si="74"/>
        <v>0</v>
      </c>
      <c r="BL61" s="25">
        <f t="shared" si="74"/>
        <v>0</v>
      </c>
      <c r="BM61" s="25">
        <f t="shared" si="74"/>
        <v>0</v>
      </c>
      <c r="BN61" s="25">
        <f t="shared" si="74"/>
        <v>0</v>
      </c>
      <c r="BO61" s="25"/>
      <c r="BP61" s="25"/>
      <c r="BQ61" s="25">
        <f t="shared" si="75"/>
        <v>0</v>
      </c>
      <c r="BR61" s="25">
        <f t="shared" si="76"/>
        <v>0</v>
      </c>
      <c r="BS61" s="27">
        <f t="shared" si="10"/>
        <v>1</v>
      </c>
      <c r="BT61" s="25">
        <f t="shared" si="77"/>
        <v>3000000</v>
      </c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>
        <f>+'[7]JUNIO 2016'!$H$1784</f>
        <v>3000000</v>
      </c>
      <c r="CO61" s="27">
        <f t="shared" si="78"/>
        <v>0</v>
      </c>
      <c r="CP61" s="25">
        <f t="shared" si="79"/>
        <v>0</v>
      </c>
      <c r="CQ61" s="25">
        <f t="shared" si="80"/>
        <v>0</v>
      </c>
      <c r="CR61" s="25">
        <f t="shared" si="80"/>
        <v>0</v>
      </c>
      <c r="CS61" s="25">
        <f t="shared" si="80"/>
        <v>0</v>
      </c>
      <c r="CT61" s="25">
        <f t="shared" si="80"/>
        <v>0</v>
      </c>
      <c r="CU61" s="25">
        <f t="shared" si="80"/>
        <v>0</v>
      </c>
      <c r="CV61" s="25">
        <f t="shared" si="80"/>
        <v>0</v>
      </c>
      <c r="CW61" s="25">
        <f t="shared" si="81"/>
        <v>0</v>
      </c>
      <c r="CX61" s="25">
        <f t="shared" si="81"/>
        <v>0</v>
      </c>
      <c r="CY61" s="25">
        <f t="shared" si="81"/>
        <v>0</v>
      </c>
      <c r="CZ61" s="25">
        <f t="shared" si="82"/>
        <v>0</v>
      </c>
      <c r="DA61" s="25">
        <f t="shared" si="82"/>
        <v>0</v>
      </c>
      <c r="DB61" s="25">
        <f t="shared" si="82"/>
        <v>0</v>
      </c>
      <c r="DC61" s="25">
        <f t="shared" si="83"/>
        <v>0</v>
      </c>
      <c r="DD61" s="25">
        <f t="shared" si="83"/>
        <v>0</v>
      </c>
      <c r="DE61" s="25">
        <f t="shared" si="83"/>
        <v>0</v>
      </c>
      <c r="DF61" s="25"/>
      <c r="DG61" s="25">
        <f t="shared" si="84"/>
        <v>0</v>
      </c>
      <c r="DH61" s="56">
        <f t="shared" si="84"/>
        <v>0</v>
      </c>
      <c r="DI61" s="25">
        <f t="shared" si="84"/>
        <v>0</v>
      </c>
      <c r="DK61" s="78"/>
      <c r="DL61" s="78"/>
      <c r="DM61" s="276">
        <f t="shared" si="44"/>
        <v>3000000</v>
      </c>
      <c r="DN61" s="277">
        <f t="shared" si="45"/>
        <v>3000000</v>
      </c>
      <c r="DO61" s="278">
        <f t="shared" si="69"/>
        <v>1</v>
      </c>
    </row>
    <row r="62" spans="1:119" ht="34.5" hidden="1" customHeight="1" x14ac:dyDescent="0.25">
      <c r="A62" s="184"/>
      <c r="B62" s="65" t="s">
        <v>189</v>
      </c>
      <c r="C62" s="21" t="s">
        <v>190</v>
      </c>
      <c r="D62" s="22" t="s">
        <v>191</v>
      </c>
      <c r="E62" s="23">
        <v>520</v>
      </c>
      <c r="F62" s="24" t="s">
        <v>91</v>
      </c>
      <c r="G62" s="25">
        <f t="shared" si="70"/>
        <v>20000000</v>
      </c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>
        <v>20000000</v>
      </c>
      <c r="T62" s="25"/>
      <c r="U62" s="25"/>
      <c r="V62" s="25"/>
      <c r="W62" s="25"/>
      <c r="X62" s="25"/>
      <c r="Y62" s="25"/>
      <c r="Z62" s="25"/>
      <c r="AB62" s="27">
        <f t="shared" si="1"/>
        <v>0.84190584999999996</v>
      </c>
      <c r="AC62" s="25">
        <f t="shared" si="71"/>
        <v>16838117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>
        <f>+'[8]MAYO 2016'!$W$1566</f>
        <v>16838117</v>
      </c>
      <c r="AQ62" s="25"/>
      <c r="AR62" s="25"/>
      <c r="AS62" s="25"/>
      <c r="AT62" s="25"/>
      <c r="AU62" s="25"/>
      <c r="AV62" s="25"/>
      <c r="AW62" s="25"/>
      <c r="AX62" s="27">
        <f t="shared" si="3"/>
        <v>0.15809415000000004</v>
      </c>
      <c r="AY62" s="25">
        <f t="shared" si="72"/>
        <v>3161883</v>
      </c>
      <c r="AZ62" s="25">
        <f t="shared" si="73"/>
        <v>0</v>
      </c>
      <c r="BA62" s="25">
        <f t="shared" si="73"/>
        <v>0</v>
      </c>
      <c r="BB62" s="25">
        <f t="shared" si="73"/>
        <v>0</v>
      </c>
      <c r="BC62" s="25">
        <f t="shared" si="74"/>
        <v>0</v>
      </c>
      <c r="BD62" s="25">
        <f t="shared" si="74"/>
        <v>0</v>
      </c>
      <c r="BE62" s="25">
        <f t="shared" si="74"/>
        <v>0</v>
      </c>
      <c r="BF62" s="25">
        <f t="shared" si="74"/>
        <v>0</v>
      </c>
      <c r="BG62" s="25">
        <f t="shared" si="74"/>
        <v>0</v>
      </c>
      <c r="BH62" s="25">
        <f t="shared" si="74"/>
        <v>0</v>
      </c>
      <c r="BI62" s="25">
        <f t="shared" si="74"/>
        <v>0</v>
      </c>
      <c r="BJ62" s="25">
        <f t="shared" si="74"/>
        <v>0</v>
      </c>
      <c r="BK62" s="25">
        <f t="shared" si="74"/>
        <v>3161883</v>
      </c>
      <c r="BL62" s="25">
        <f t="shared" si="74"/>
        <v>0</v>
      </c>
      <c r="BM62" s="25">
        <f t="shared" si="74"/>
        <v>0</v>
      </c>
      <c r="BN62" s="25">
        <f t="shared" si="74"/>
        <v>0</v>
      </c>
      <c r="BO62" s="25"/>
      <c r="BP62" s="25">
        <f>+X62-AU62</f>
        <v>0</v>
      </c>
      <c r="BQ62" s="25">
        <f t="shared" si="75"/>
        <v>0</v>
      </c>
      <c r="BR62" s="25">
        <f t="shared" si="76"/>
        <v>0</v>
      </c>
      <c r="BS62" s="27">
        <f t="shared" si="10"/>
        <v>0.8307021</v>
      </c>
      <c r="BT62" s="25">
        <f t="shared" si="77"/>
        <v>16614042</v>
      </c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>
        <f>+'[7]JUNIO 2016'!$H$1796</f>
        <v>16614042</v>
      </c>
      <c r="CH62" s="25"/>
      <c r="CI62" s="25"/>
      <c r="CJ62" s="25"/>
      <c r="CK62" s="25"/>
      <c r="CL62" s="25"/>
      <c r="CM62" s="25"/>
      <c r="CN62" s="25"/>
      <c r="CO62" s="27">
        <f t="shared" si="78"/>
        <v>0.1692979</v>
      </c>
      <c r="CP62" s="25">
        <f t="shared" si="79"/>
        <v>3385958</v>
      </c>
      <c r="CQ62" s="25">
        <f t="shared" si="80"/>
        <v>0</v>
      </c>
      <c r="CR62" s="25">
        <f t="shared" si="80"/>
        <v>0</v>
      </c>
      <c r="CS62" s="25">
        <f t="shared" si="80"/>
        <v>0</v>
      </c>
      <c r="CT62" s="25">
        <f t="shared" si="80"/>
        <v>0</v>
      </c>
      <c r="CU62" s="25">
        <f t="shared" si="80"/>
        <v>0</v>
      </c>
      <c r="CV62" s="25">
        <f t="shared" si="80"/>
        <v>0</v>
      </c>
      <c r="CW62" s="25">
        <f t="shared" si="81"/>
        <v>0</v>
      </c>
      <c r="CX62" s="25">
        <f t="shared" si="81"/>
        <v>0</v>
      </c>
      <c r="CY62" s="25">
        <f t="shared" si="81"/>
        <v>0</v>
      </c>
      <c r="CZ62" s="25">
        <f t="shared" si="82"/>
        <v>0</v>
      </c>
      <c r="DA62" s="25">
        <f t="shared" si="82"/>
        <v>0</v>
      </c>
      <c r="DB62" s="25">
        <f t="shared" si="82"/>
        <v>3385958</v>
      </c>
      <c r="DC62" s="25">
        <f t="shared" si="83"/>
        <v>0</v>
      </c>
      <c r="DD62" s="25">
        <f t="shared" si="83"/>
        <v>0</v>
      </c>
      <c r="DE62" s="25">
        <f t="shared" si="83"/>
        <v>0</v>
      </c>
      <c r="DF62" s="25"/>
      <c r="DG62" s="25">
        <f t="shared" si="84"/>
        <v>0</v>
      </c>
      <c r="DH62" s="56">
        <f t="shared" si="84"/>
        <v>0</v>
      </c>
      <c r="DI62" s="25">
        <f t="shared" si="84"/>
        <v>0</v>
      </c>
      <c r="DK62" s="78"/>
      <c r="DL62" s="78"/>
      <c r="DM62" s="276">
        <f t="shared" si="44"/>
        <v>20000000</v>
      </c>
      <c r="DN62" s="277">
        <f t="shared" si="45"/>
        <v>16614042</v>
      </c>
      <c r="DO62" s="278">
        <f t="shared" si="69"/>
        <v>0.8307021</v>
      </c>
    </row>
    <row r="63" spans="1:119" ht="36.75" hidden="1" customHeight="1" x14ac:dyDescent="0.25">
      <c r="A63" s="184"/>
      <c r="B63" s="186" t="s">
        <v>192</v>
      </c>
      <c r="C63" s="21" t="s">
        <v>193</v>
      </c>
      <c r="D63" s="22" t="s">
        <v>194</v>
      </c>
      <c r="E63" s="23">
        <v>520</v>
      </c>
      <c r="F63" s="24" t="s">
        <v>91</v>
      </c>
      <c r="G63" s="25">
        <f t="shared" si="70"/>
        <v>115000000</v>
      </c>
      <c r="H63" s="36"/>
      <c r="I63" s="36"/>
      <c r="J63" s="36"/>
      <c r="K63" s="25">
        <f>228450721-133450721</f>
        <v>95000000</v>
      </c>
      <c r="L63" s="25"/>
      <c r="M63" s="25"/>
      <c r="N63" s="25"/>
      <c r="O63" s="25"/>
      <c r="P63" s="25"/>
      <c r="Q63" s="25"/>
      <c r="R63" s="25"/>
      <c r="S63" s="25">
        <f>20000000</f>
        <v>20000000</v>
      </c>
      <c r="T63" s="25"/>
      <c r="U63" s="25"/>
      <c r="V63" s="25"/>
      <c r="W63" s="25"/>
      <c r="X63" s="25"/>
      <c r="Y63" s="25"/>
      <c r="Z63" s="25"/>
      <c r="AB63" s="27">
        <f t="shared" si="1"/>
        <v>0.41107339130434783</v>
      </c>
      <c r="AC63" s="25">
        <f t="shared" si="71"/>
        <v>47273440</v>
      </c>
      <c r="AD63" s="25"/>
      <c r="AE63" s="25"/>
      <c r="AF63" s="25"/>
      <c r="AG63" s="25"/>
      <c r="AH63" s="25">
        <f>+'[7]JUNIO 2016'!$O$1825</f>
        <v>47273440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7">
        <f t="shared" si="3"/>
        <v>0.58892660869565217</v>
      </c>
      <c r="AY63" s="25">
        <f t="shared" si="72"/>
        <v>67726560</v>
      </c>
      <c r="AZ63" s="25">
        <f t="shared" si="73"/>
        <v>0</v>
      </c>
      <c r="BA63" s="25">
        <f t="shared" si="73"/>
        <v>0</v>
      </c>
      <c r="BB63" s="25">
        <f t="shared" si="73"/>
        <v>0</v>
      </c>
      <c r="BC63" s="25">
        <f t="shared" si="74"/>
        <v>47726560</v>
      </c>
      <c r="BD63" s="25">
        <f t="shared" si="74"/>
        <v>0</v>
      </c>
      <c r="BE63" s="25">
        <f t="shared" si="74"/>
        <v>0</v>
      </c>
      <c r="BF63" s="25">
        <f>N63-AK63</f>
        <v>0</v>
      </c>
      <c r="BG63" s="25">
        <f t="shared" si="74"/>
        <v>0</v>
      </c>
      <c r="BH63" s="25">
        <f t="shared" si="74"/>
        <v>0</v>
      </c>
      <c r="BI63" s="25">
        <f t="shared" si="74"/>
        <v>0</v>
      </c>
      <c r="BJ63" s="25">
        <f t="shared" si="74"/>
        <v>0</v>
      </c>
      <c r="BK63" s="25">
        <f t="shared" si="74"/>
        <v>20000000</v>
      </c>
      <c r="BL63" s="25">
        <f>T63-AQ63</f>
        <v>0</v>
      </c>
      <c r="BM63" s="25">
        <f t="shared" si="74"/>
        <v>0</v>
      </c>
      <c r="BN63" s="25">
        <f t="shared" si="74"/>
        <v>0</v>
      </c>
      <c r="BO63" s="25"/>
      <c r="BP63" s="25"/>
      <c r="BQ63" s="25">
        <f t="shared" si="75"/>
        <v>0</v>
      </c>
      <c r="BR63" s="25">
        <f t="shared" si="76"/>
        <v>0</v>
      </c>
      <c r="BS63" s="27">
        <f t="shared" si="10"/>
        <v>0.4082608695652174</v>
      </c>
      <c r="BT63" s="25">
        <f t="shared" si="77"/>
        <v>46950000</v>
      </c>
      <c r="BU63" s="25"/>
      <c r="BV63" s="25"/>
      <c r="BW63" s="25"/>
      <c r="BX63" s="25"/>
      <c r="BY63" s="25">
        <f>+'[6]JULIO 2016'!$H$2016</f>
        <v>46950000</v>
      </c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7">
        <f t="shared" si="78"/>
        <v>0.59173913043478255</v>
      </c>
      <c r="CP63" s="25">
        <f t="shared" si="79"/>
        <v>68050000</v>
      </c>
      <c r="CQ63" s="25">
        <f t="shared" si="80"/>
        <v>0</v>
      </c>
      <c r="CR63" s="25">
        <f t="shared" si="80"/>
        <v>0</v>
      </c>
      <c r="CS63" s="25">
        <f t="shared" si="80"/>
        <v>0</v>
      </c>
      <c r="CT63" s="25">
        <f t="shared" si="80"/>
        <v>48050000</v>
      </c>
      <c r="CU63" s="25">
        <f t="shared" si="80"/>
        <v>0</v>
      </c>
      <c r="CV63" s="25">
        <f t="shared" si="80"/>
        <v>0</v>
      </c>
      <c r="CW63" s="25">
        <f t="shared" si="81"/>
        <v>0</v>
      </c>
      <c r="CX63" s="25">
        <f t="shared" si="81"/>
        <v>0</v>
      </c>
      <c r="CY63" s="25">
        <f t="shared" si="81"/>
        <v>0</v>
      </c>
      <c r="CZ63" s="25">
        <f t="shared" si="82"/>
        <v>0</v>
      </c>
      <c r="DA63" s="25">
        <f t="shared" si="82"/>
        <v>0</v>
      </c>
      <c r="DB63" s="25">
        <f t="shared" si="82"/>
        <v>20000000</v>
      </c>
      <c r="DC63" s="25">
        <f t="shared" si="83"/>
        <v>0</v>
      </c>
      <c r="DD63" s="25">
        <f t="shared" si="83"/>
        <v>0</v>
      </c>
      <c r="DE63" s="25">
        <f t="shared" si="83"/>
        <v>0</v>
      </c>
      <c r="DF63" s="25"/>
      <c r="DG63" s="25">
        <f t="shared" si="84"/>
        <v>0</v>
      </c>
      <c r="DH63" s="56">
        <f t="shared" si="84"/>
        <v>0</v>
      </c>
      <c r="DI63" s="25">
        <f t="shared" si="84"/>
        <v>0</v>
      </c>
      <c r="DK63" s="78"/>
      <c r="DL63" s="78"/>
      <c r="DM63" s="276">
        <f t="shared" si="44"/>
        <v>115000000</v>
      </c>
      <c r="DN63" s="277">
        <f t="shared" si="45"/>
        <v>46950000</v>
      </c>
      <c r="DO63" s="278">
        <f t="shared" si="69"/>
        <v>0.4082608695652174</v>
      </c>
    </row>
    <row r="64" spans="1:119" ht="33.75" hidden="1" customHeight="1" x14ac:dyDescent="0.25">
      <c r="A64" s="184"/>
      <c r="B64" s="187"/>
      <c r="C64" s="21" t="s">
        <v>195</v>
      </c>
      <c r="D64" s="22" t="s">
        <v>196</v>
      </c>
      <c r="E64" s="23">
        <v>520</v>
      </c>
      <c r="F64" s="24" t="s">
        <v>91</v>
      </c>
      <c r="G64" s="25">
        <f t="shared" si="70"/>
        <v>405901442</v>
      </c>
      <c r="H64" s="49"/>
      <c r="I64" s="36"/>
      <c r="J64" s="36"/>
      <c r="K64" s="25">
        <f>28450721+133450721</f>
        <v>161901442</v>
      </c>
      <c r="L64" s="25"/>
      <c r="M64" s="25"/>
      <c r="N64" s="25"/>
      <c r="O64" s="25"/>
      <c r="P64" s="25"/>
      <c r="Q64" s="25"/>
      <c r="R64" s="25">
        <f>200000000+44000000</f>
        <v>244000000</v>
      </c>
      <c r="S64" s="25"/>
      <c r="T64" s="25"/>
      <c r="U64" s="25"/>
      <c r="V64" s="25"/>
      <c r="W64" s="25"/>
      <c r="X64" s="25"/>
      <c r="Y64" s="25"/>
      <c r="Z64" s="25"/>
      <c r="AB64" s="27">
        <f t="shared" si="1"/>
        <v>0.73653121931998455</v>
      </c>
      <c r="AC64" s="25">
        <f t="shared" si="71"/>
        <v>298959084</v>
      </c>
      <c r="AD64" s="25"/>
      <c r="AE64" s="25"/>
      <c r="AF64" s="25"/>
      <c r="AG64" s="25"/>
      <c r="AH64" s="25">
        <f>+'[1]AGOSTO 2016'!$O$2654</f>
        <v>111857093</v>
      </c>
      <c r="AI64" s="25"/>
      <c r="AJ64" s="25"/>
      <c r="AK64" s="25"/>
      <c r="AL64" s="25"/>
      <c r="AM64" s="25"/>
      <c r="AN64" s="25"/>
      <c r="AO64" s="25">
        <f>+'[1]AGOSTO 2016'!$V$2654</f>
        <v>187101991</v>
      </c>
      <c r="AP64" s="25"/>
      <c r="AQ64" s="25"/>
      <c r="AR64" s="25"/>
      <c r="AS64" s="25"/>
      <c r="AT64" s="25"/>
      <c r="AU64" s="25"/>
      <c r="AV64" s="25"/>
      <c r="AW64" s="25"/>
      <c r="AX64" s="27">
        <f t="shared" si="3"/>
        <v>0.26346878068001545</v>
      </c>
      <c r="AY64" s="25">
        <f t="shared" si="72"/>
        <v>106942358</v>
      </c>
      <c r="AZ64" s="25">
        <f t="shared" si="73"/>
        <v>0</v>
      </c>
      <c r="BA64" s="25">
        <f t="shared" si="73"/>
        <v>0</v>
      </c>
      <c r="BB64" s="25">
        <f t="shared" si="73"/>
        <v>0</v>
      </c>
      <c r="BC64" s="25">
        <f t="shared" si="74"/>
        <v>50044349</v>
      </c>
      <c r="BD64" s="25">
        <f t="shared" si="74"/>
        <v>0</v>
      </c>
      <c r="BE64" s="25">
        <f t="shared" si="74"/>
        <v>0</v>
      </c>
      <c r="BF64" s="25">
        <f>N64-AK64</f>
        <v>0</v>
      </c>
      <c r="BG64" s="25">
        <f t="shared" si="74"/>
        <v>0</v>
      </c>
      <c r="BH64" s="25">
        <f t="shared" si="74"/>
        <v>0</v>
      </c>
      <c r="BI64" s="25">
        <f t="shared" si="74"/>
        <v>0</v>
      </c>
      <c r="BJ64" s="25">
        <f t="shared" si="74"/>
        <v>56898009</v>
      </c>
      <c r="BK64" s="25">
        <f t="shared" si="74"/>
        <v>0</v>
      </c>
      <c r="BL64" s="25">
        <f>T64-AQ64</f>
        <v>0</v>
      </c>
      <c r="BM64" s="25">
        <f t="shared" si="74"/>
        <v>0</v>
      </c>
      <c r="BN64" s="25">
        <f t="shared" si="74"/>
        <v>0</v>
      </c>
      <c r="BO64" s="25"/>
      <c r="BP64" s="25"/>
      <c r="BQ64" s="25">
        <f t="shared" si="75"/>
        <v>0</v>
      </c>
      <c r="BR64" s="25">
        <f t="shared" si="76"/>
        <v>0</v>
      </c>
      <c r="BS64" s="27">
        <f t="shared" si="10"/>
        <v>0.69217745720647128</v>
      </c>
      <c r="BT64" s="25">
        <f t="shared" si="77"/>
        <v>280955828</v>
      </c>
      <c r="BU64" s="25"/>
      <c r="BV64" s="25"/>
      <c r="BW64" s="25"/>
      <c r="BX64" s="25"/>
      <c r="BY64" s="25">
        <f>'[1]AGOSTO 2016'!$H$2652-CF64</f>
        <v>95580214</v>
      </c>
      <c r="BZ64" s="25"/>
      <c r="CA64" s="25"/>
      <c r="CB64" s="25"/>
      <c r="CC64" s="25"/>
      <c r="CD64" s="25"/>
      <c r="CE64" s="25"/>
      <c r="CF64" s="25">
        <f>+'[1]AGOSTO 2016'!$H$2666+'[1]AGOSTO 2016'!$H$2677+'[1]AGOSTO 2016'!$H$2704+'[1]AGOSTO 2016'!$H$2707+'[1]AGOSTO 2016'!$H$2723+'[1]AGOSTO 2016'!$H$2724+'[1]AGOSTO 2016'!$H$2726+'[1]AGOSTO 2016'!$H$2727+'[1]AGOSTO 2016'!$H$2728+'[1]AGOSTO 2016'!$H$2736</f>
        <v>185375614</v>
      </c>
      <c r="CG64" s="25"/>
      <c r="CH64" s="25"/>
      <c r="CI64" s="25"/>
      <c r="CJ64" s="25"/>
      <c r="CK64" s="25"/>
      <c r="CL64" s="25"/>
      <c r="CM64" s="25"/>
      <c r="CN64" s="25"/>
      <c r="CO64" s="27">
        <f t="shared" si="78"/>
        <v>0.30782254279352872</v>
      </c>
      <c r="CP64" s="25">
        <f t="shared" si="79"/>
        <v>124945614</v>
      </c>
      <c r="CQ64" s="25">
        <f t="shared" si="80"/>
        <v>0</v>
      </c>
      <c r="CR64" s="25">
        <f t="shared" si="80"/>
        <v>0</v>
      </c>
      <c r="CS64" s="25">
        <f t="shared" si="80"/>
        <v>0</v>
      </c>
      <c r="CT64" s="25">
        <f t="shared" si="80"/>
        <v>66321228</v>
      </c>
      <c r="CU64" s="25">
        <f t="shared" si="80"/>
        <v>0</v>
      </c>
      <c r="CV64" s="25">
        <f t="shared" si="80"/>
        <v>0</v>
      </c>
      <c r="CW64" s="25">
        <f t="shared" si="81"/>
        <v>0</v>
      </c>
      <c r="CX64" s="25">
        <f t="shared" si="81"/>
        <v>0</v>
      </c>
      <c r="CY64" s="25">
        <f t="shared" si="81"/>
        <v>0</v>
      </c>
      <c r="CZ64" s="25">
        <f t="shared" si="82"/>
        <v>0</v>
      </c>
      <c r="DA64" s="25">
        <f t="shared" si="82"/>
        <v>58624386</v>
      </c>
      <c r="DB64" s="25">
        <f t="shared" si="82"/>
        <v>0</v>
      </c>
      <c r="DC64" s="25">
        <f t="shared" si="83"/>
        <v>0</v>
      </c>
      <c r="DD64" s="25">
        <f t="shared" si="83"/>
        <v>0</v>
      </c>
      <c r="DE64" s="25">
        <f t="shared" si="83"/>
        <v>0</v>
      </c>
      <c r="DF64" s="25"/>
      <c r="DG64" s="25">
        <f t="shared" si="84"/>
        <v>0</v>
      </c>
      <c r="DH64" s="56">
        <f t="shared" si="84"/>
        <v>0</v>
      </c>
      <c r="DI64" s="25">
        <f t="shared" si="84"/>
        <v>0</v>
      </c>
      <c r="DK64" s="78"/>
      <c r="DL64" s="78"/>
      <c r="DM64" s="276">
        <f t="shared" si="44"/>
        <v>405901442</v>
      </c>
      <c r="DN64" s="277">
        <f t="shared" si="45"/>
        <v>280955828</v>
      </c>
      <c r="DO64" s="278">
        <f t="shared" si="69"/>
        <v>0.69217745720647128</v>
      </c>
    </row>
    <row r="65" spans="1:119" ht="30.75" hidden="1" customHeight="1" x14ac:dyDescent="0.25">
      <c r="A65" s="184"/>
      <c r="B65" s="187"/>
      <c r="C65" s="21" t="s">
        <v>197</v>
      </c>
      <c r="D65" s="22" t="s">
        <v>198</v>
      </c>
      <c r="E65" s="23">
        <v>520</v>
      </c>
      <c r="F65" s="24" t="s">
        <v>199</v>
      </c>
      <c r="G65" s="25">
        <f t="shared" si="70"/>
        <v>11000000</v>
      </c>
      <c r="H65" s="36"/>
      <c r="I65" s="36"/>
      <c r="J65" s="36"/>
      <c r="K65" s="36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>
        <f>8000000+3000000</f>
        <v>11000000</v>
      </c>
      <c r="AB65" s="27">
        <f t="shared" si="1"/>
        <v>0.72727272727272729</v>
      </c>
      <c r="AC65" s="25">
        <f t="shared" si="71"/>
        <v>8000000</v>
      </c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>
        <f>+'[7]JUNIO 2016'!$AG$1918</f>
        <v>8000000</v>
      </c>
      <c r="AX65" s="27">
        <f t="shared" si="3"/>
        <v>0.27272727272727271</v>
      </c>
      <c r="AY65" s="25">
        <f t="shared" si="72"/>
        <v>3000000</v>
      </c>
      <c r="AZ65" s="25">
        <f t="shared" si="73"/>
        <v>0</v>
      </c>
      <c r="BA65" s="25">
        <f t="shared" si="73"/>
        <v>0</v>
      </c>
      <c r="BB65" s="25">
        <f t="shared" si="73"/>
        <v>0</v>
      </c>
      <c r="BC65" s="25">
        <f t="shared" si="74"/>
        <v>0</v>
      </c>
      <c r="BD65" s="25">
        <f t="shared" si="74"/>
        <v>0</v>
      </c>
      <c r="BE65" s="25">
        <f t="shared" si="74"/>
        <v>0</v>
      </c>
      <c r="BF65" s="25">
        <f>N65-AK65</f>
        <v>0</v>
      </c>
      <c r="BG65" s="25">
        <f t="shared" si="74"/>
        <v>0</v>
      </c>
      <c r="BH65" s="25">
        <f t="shared" si="74"/>
        <v>0</v>
      </c>
      <c r="BI65" s="25">
        <f t="shared" si="74"/>
        <v>0</v>
      </c>
      <c r="BJ65" s="25">
        <f t="shared" si="74"/>
        <v>0</v>
      </c>
      <c r="BK65" s="25">
        <f t="shared" si="74"/>
        <v>0</v>
      </c>
      <c r="BL65" s="25">
        <f>T65-AQ65</f>
        <v>0</v>
      </c>
      <c r="BM65" s="25">
        <f t="shared" si="74"/>
        <v>0</v>
      </c>
      <c r="BN65" s="25">
        <f t="shared" si="74"/>
        <v>0</v>
      </c>
      <c r="BO65" s="25"/>
      <c r="BP65" s="25"/>
      <c r="BQ65" s="25">
        <f t="shared" si="75"/>
        <v>0</v>
      </c>
      <c r="BR65" s="25">
        <f t="shared" si="76"/>
        <v>3000000</v>
      </c>
      <c r="BS65" s="27">
        <f t="shared" si="10"/>
        <v>0.46963209090909092</v>
      </c>
      <c r="BT65" s="25">
        <f t="shared" si="77"/>
        <v>5165953</v>
      </c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>
        <f>+'[7]JUNIO 2016'!$H$1916</f>
        <v>5165953</v>
      </c>
      <c r="CO65" s="27">
        <f t="shared" si="78"/>
        <v>0.53036790909090903</v>
      </c>
      <c r="CP65" s="25">
        <f t="shared" si="79"/>
        <v>5834047</v>
      </c>
      <c r="CQ65" s="25">
        <f t="shared" si="80"/>
        <v>0</v>
      </c>
      <c r="CR65" s="25">
        <f t="shared" si="80"/>
        <v>0</v>
      </c>
      <c r="CS65" s="25">
        <f t="shared" si="80"/>
        <v>0</v>
      </c>
      <c r="CT65" s="25">
        <f t="shared" si="80"/>
        <v>0</v>
      </c>
      <c r="CU65" s="25">
        <f t="shared" si="80"/>
        <v>0</v>
      </c>
      <c r="CV65" s="25">
        <f t="shared" si="80"/>
        <v>0</v>
      </c>
      <c r="CW65" s="25">
        <f t="shared" si="81"/>
        <v>0</v>
      </c>
      <c r="CX65" s="25">
        <f t="shared" si="81"/>
        <v>0</v>
      </c>
      <c r="CY65" s="25">
        <f t="shared" si="81"/>
        <v>0</v>
      </c>
      <c r="CZ65" s="25">
        <f t="shared" si="82"/>
        <v>0</v>
      </c>
      <c r="DA65" s="25">
        <f t="shared" si="82"/>
        <v>0</v>
      </c>
      <c r="DB65" s="25">
        <f t="shared" si="82"/>
        <v>0</v>
      </c>
      <c r="DC65" s="25">
        <f t="shared" si="83"/>
        <v>0</v>
      </c>
      <c r="DD65" s="25">
        <f t="shared" si="83"/>
        <v>0</v>
      </c>
      <c r="DE65" s="25">
        <f t="shared" si="83"/>
        <v>0</v>
      </c>
      <c r="DF65" s="25"/>
      <c r="DG65" s="25">
        <f t="shared" si="84"/>
        <v>0</v>
      </c>
      <c r="DH65" s="56">
        <f t="shared" si="84"/>
        <v>0</v>
      </c>
      <c r="DI65" s="25">
        <f t="shared" si="84"/>
        <v>5834047</v>
      </c>
      <c r="DK65" s="78"/>
      <c r="DL65" s="78"/>
      <c r="DM65" s="276">
        <f t="shared" si="44"/>
        <v>11000000</v>
      </c>
      <c r="DN65" s="277">
        <f t="shared" si="45"/>
        <v>5165953</v>
      </c>
      <c r="DO65" s="278">
        <f t="shared" si="69"/>
        <v>0.46963209090909092</v>
      </c>
    </row>
    <row r="66" spans="1:119" ht="34.5" hidden="1" customHeight="1" x14ac:dyDescent="0.25">
      <c r="A66" s="184"/>
      <c r="B66" s="187"/>
      <c r="C66" s="21" t="s">
        <v>200</v>
      </c>
      <c r="D66" s="22" t="s">
        <v>201</v>
      </c>
      <c r="E66" s="23">
        <v>520</v>
      </c>
      <c r="F66" s="24" t="s">
        <v>202</v>
      </c>
      <c r="G66" s="25">
        <f t="shared" si="70"/>
        <v>5000000</v>
      </c>
      <c r="H66" s="36"/>
      <c r="I66" s="36"/>
      <c r="J66" s="36"/>
      <c r="K66" s="36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>
        <v>5000000</v>
      </c>
      <c r="AB66" s="27">
        <f t="shared" si="1"/>
        <v>1</v>
      </c>
      <c r="AC66" s="25">
        <f t="shared" si="71"/>
        <v>5000000</v>
      </c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>
        <f>+'[8]MAYO 2016'!$AG$1678</f>
        <v>5000000</v>
      </c>
      <c r="AX66" s="27">
        <f t="shared" si="3"/>
        <v>0</v>
      </c>
      <c r="AY66" s="25">
        <f t="shared" si="72"/>
        <v>0</v>
      </c>
      <c r="AZ66" s="25">
        <f t="shared" si="73"/>
        <v>0</v>
      </c>
      <c r="BA66" s="25">
        <f t="shared" si="73"/>
        <v>0</v>
      </c>
      <c r="BB66" s="25">
        <f t="shared" si="73"/>
        <v>0</v>
      </c>
      <c r="BC66" s="25">
        <f t="shared" si="74"/>
        <v>0</v>
      </c>
      <c r="BD66" s="25">
        <f t="shared" si="74"/>
        <v>0</v>
      </c>
      <c r="BE66" s="25">
        <f t="shared" si="74"/>
        <v>0</v>
      </c>
      <c r="BF66" s="25">
        <f>N66-AK66</f>
        <v>0</v>
      </c>
      <c r="BG66" s="25">
        <f t="shared" si="74"/>
        <v>0</v>
      </c>
      <c r="BH66" s="25">
        <f t="shared" si="74"/>
        <v>0</v>
      </c>
      <c r="BI66" s="25">
        <f t="shared" si="74"/>
        <v>0</v>
      </c>
      <c r="BJ66" s="25">
        <f t="shared" si="74"/>
        <v>0</v>
      </c>
      <c r="BK66" s="25">
        <f t="shared" si="74"/>
        <v>0</v>
      </c>
      <c r="BL66" s="25">
        <f>T66-AQ66</f>
        <v>0</v>
      </c>
      <c r="BM66" s="25">
        <f t="shared" si="74"/>
        <v>0</v>
      </c>
      <c r="BN66" s="25">
        <f t="shared" si="74"/>
        <v>0</v>
      </c>
      <c r="BO66" s="25"/>
      <c r="BP66" s="25"/>
      <c r="BQ66" s="25">
        <f t="shared" si="75"/>
        <v>0</v>
      </c>
      <c r="BR66" s="25">
        <f t="shared" si="76"/>
        <v>0</v>
      </c>
      <c r="BS66" s="27">
        <f t="shared" si="10"/>
        <v>0.99863999999999997</v>
      </c>
      <c r="BT66" s="25">
        <f t="shared" si="77"/>
        <v>4993200</v>
      </c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>
        <f>+'[8]MAYO 2016'!$H$1676</f>
        <v>4993200</v>
      </c>
      <c r="CO66" s="27">
        <f t="shared" si="78"/>
        <v>1.3600000000000279E-3</v>
      </c>
      <c r="CP66" s="25">
        <f t="shared" si="79"/>
        <v>6800</v>
      </c>
      <c r="CQ66" s="25">
        <f t="shared" si="80"/>
        <v>0</v>
      </c>
      <c r="CR66" s="25">
        <f t="shared" si="80"/>
        <v>0</v>
      </c>
      <c r="CS66" s="25">
        <f t="shared" si="80"/>
        <v>0</v>
      </c>
      <c r="CT66" s="25">
        <f t="shared" si="80"/>
        <v>0</v>
      </c>
      <c r="CU66" s="25">
        <f t="shared" si="80"/>
        <v>0</v>
      </c>
      <c r="CV66" s="25">
        <f t="shared" si="80"/>
        <v>0</v>
      </c>
      <c r="CW66" s="25">
        <f t="shared" si="81"/>
        <v>0</v>
      </c>
      <c r="CX66" s="25">
        <f t="shared" si="81"/>
        <v>0</v>
      </c>
      <c r="CY66" s="25">
        <f t="shared" si="81"/>
        <v>0</v>
      </c>
      <c r="CZ66" s="25">
        <f t="shared" si="82"/>
        <v>0</v>
      </c>
      <c r="DA66" s="25">
        <f t="shared" si="82"/>
        <v>0</v>
      </c>
      <c r="DB66" s="25">
        <f t="shared" si="82"/>
        <v>0</v>
      </c>
      <c r="DC66" s="25">
        <f t="shared" si="83"/>
        <v>0</v>
      </c>
      <c r="DD66" s="25">
        <f t="shared" si="83"/>
        <v>0</v>
      </c>
      <c r="DE66" s="25">
        <f t="shared" si="83"/>
        <v>0</v>
      </c>
      <c r="DF66" s="25"/>
      <c r="DG66" s="25">
        <f t="shared" si="84"/>
        <v>0</v>
      </c>
      <c r="DH66" s="56">
        <f t="shared" si="84"/>
        <v>0</v>
      </c>
      <c r="DI66" s="25">
        <f t="shared" si="84"/>
        <v>6800</v>
      </c>
      <c r="DK66" s="78"/>
      <c r="DL66" s="78"/>
      <c r="DM66" s="276">
        <f t="shared" si="44"/>
        <v>5000000</v>
      </c>
      <c r="DN66" s="277">
        <f t="shared" si="45"/>
        <v>4993200</v>
      </c>
      <c r="DO66" s="278">
        <f t="shared" si="69"/>
        <v>0.99863999999999997</v>
      </c>
    </row>
    <row r="67" spans="1:119" ht="35.25" hidden="1" customHeight="1" x14ac:dyDescent="0.25">
      <c r="A67" s="184"/>
      <c r="B67" s="187"/>
      <c r="C67" s="21" t="s">
        <v>203</v>
      </c>
      <c r="D67" s="22" t="s">
        <v>204</v>
      </c>
      <c r="E67" s="23">
        <v>520</v>
      </c>
      <c r="F67" s="24" t="s">
        <v>202</v>
      </c>
      <c r="G67" s="25">
        <f t="shared" si="70"/>
        <v>0</v>
      </c>
      <c r="H67" s="36"/>
      <c r="I67" s="36"/>
      <c r="J67" s="36"/>
      <c r="K67" s="36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>
        <f>7000000-7000000</f>
        <v>0</v>
      </c>
      <c r="AA67" s="59"/>
      <c r="AB67" s="27" t="e">
        <f t="shared" si="1"/>
        <v>#DIV/0!</v>
      </c>
      <c r="AC67" s="25">
        <f t="shared" si="71"/>
        <v>0</v>
      </c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7" t="e">
        <f t="shared" si="3"/>
        <v>#DIV/0!</v>
      </c>
      <c r="AY67" s="25">
        <f t="shared" si="72"/>
        <v>0</v>
      </c>
      <c r="AZ67" s="25">
        <f t="shared" si="73"/>
        <v>0</v>
      </c>
      <c r="BA67" s="25">
        <f t="shared" si="73"/>
        <v>0</v>
      </c>
      <c r="BB67" s="25">
        <f t="shared" si="73"/>
        <v>0</v>
      </c>
      <c r="BC67" s="25">
        <f t="shared" si="74"/>
        <v>0</v>
      </c>
      <c r="BD67" s="25">
        <f t="shared" si="74"/>
        <v>0</v>
      </c>
      <c r="BE67" s="25">
        <f t="shared" si="74"/>
        <v>0</v>
      </c>
      <c r="BF67" s="25">
        <f>+N67-AK67</f>
        <v>0</v>
      </c>
      <c r="BG67" s="25">
        <f t="shared" si="74"/>
        <v>0</v>
      </c>
      <c r="BH67" s="25">
        <f t="shared" si="74"/>
        <v>0</v>
      </c>
      <c r="BI67" s="25">
        <f t="shared" si="74"/>
        <v>0</v>
      </c>
      <c r="BJ67" s="25">
        <f t="shared" si="74"/>
        <v>0</v>
      </c>
      <c r="BK67" s="25">
        <f t="shared" si="74"/>
        <v>0</v>
      </c>
      <c r="BL67" s="25">
        <f>+T67-AQ67</f>
        <v>0</v>
      </c>
      <c r="BM67" s="25">
        <f t="shared" si="74"/>
        <v>0</v>
      </c>
      <c r="BN67" s="25">
        <f t="shared" si="74"/>
        <v>0</v>
      </c>
      <c r="BO67" s="25"/>
      <c r="BP67" s="25">
        <f>+X67-AU67</f>
        <v>0</v>
      </c>
      <c r="BQ67" s="25">
        <f t="shared" si="75"/>
        <v>0</v>
      </c>
      <c r="BR67" s="25">
        <f t="shared" si="76"/>
        <v>0</v>
      </c>
      <c r="BS67" s="27" t="e">
        <f t="shared" si="10"/>
        <v>#DIV/0!</v>
      </c>
      <c r="BT67" s="25">
        <f t="shared" si="77"/>
        <v>0</v>
      </c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7" t="e">
        <f t="shared" si="78"/>
        <v>#DIV/0!</v>
      </c>
      <c r="CP67" s="25">
        <f t="shared" si="79"/>
        <v>0</v>
      </c>
      <c r="CQ67" s="25">
        <f t="shared" si="80"/>
        <v>0</v>
      </c>
      <c r="CR67" s="25">
        <f t="shared" si="80"/>
        <v>0</v>
      </c>
      <c r="CS67" s="25">
        <f t="shared" si="80"/>
        <v>0</v>
      </c>
      <c r="CT67" s="25">
        <f t="shared" si="80"/>
        <v>0</v>
      </c>
      <c r="CU67" s="25">
        <f t="shared" si="80"/>
        <v>0</v>
      </c>
      <c r="CV67" s="25">
        <f t="shared" si="80"/>
        <v>0</v>
      </c>
      <c r="CW67" s="25">
        <f t="shared" si="81"/>
        <v>0</v>
      </c>
      <c r="CX67" s="25">
        <f t="shared" si="81"/>
        <v>0</v>
      </c>
      <c r="CY67" s="25">
        <f t="shared" si="81"/>
        <v>0</v>
      </c>
      <c r="CZ67" s="25">
        <f t="shared" si="82"/>
        <v>0</v>
      </c>
      <c r="DA67" s="25">
        <f t="shared" si="82"/>
        <v>0</v>
      </c>
      <c r="DB67" s="25">
        <f t="shared" si="82"/>
        <v>0</v>
      </c>
      <c r="DC67" s="25">
        <f t="shared" si="83"/>
        <v>0</v>
      </c>
      <c r="DD67" s="25">
        <f t="shared" si="83"/>
        <v>0</v>
      </c>
      <c r="DE67" s="25">
        <f t="shared" si="83"/>
        <v>0</v>
      </c>
      <c r="DF67" s="25"/>
      <c r="DG67" s="25">
        <f t="shared" si="84"/>
        <v>0</v>
      </c>
      <c r="DH67" s="56">
        <f t="shared" si="84"/>
        <v>0</v>
      </c>
      <c r="DI67" s="25">
        <f t="shared" si="84"/>
        <v>0</v>
      </c>
      <c r="DK67" s="78"/>
      <c r="DL67" s="78"/>
      <c r="DM67" s="276">
        <f t="shared" si="44"/>
        <v>0</v>
      </c>
      <c r="DN67" s="277">
        <f t="shared" si="45"/>
        <v>0</v>
      </c>
      <c r="DO67" s="278" t="e">
        <f t="shared" si="69"/>
        <v>#DIV/0!</v>
      </c>
    </row>
    <row r="68" spans="1:119" ht="76.5" hidden="1" customHeight="1" x14ac:dyDescent="0.25">
      <c r="A68" s="184"/>
      <c r="B68" s="187"/>
      <c r="C68" s="21" t="s">
        <v>205</v>
      </c>
      <c r="D68" s="22" t="s">
        <v>206</v>
      </c>
      <c r="E68" s="23">
        <v>520</v>
      </c>
      <c r="F68" s="24" t="s">
        <v>207</v>
      </c>
      <c r="G68" s="25">
        <f t="shared" si="70"/>
        <v>401355998</v>
      </c>
      <c r="H68" s="36"/>
      <c r="I68" s="36"/>
      <c r="J68" s="36"/>
      <c r="K68" s="36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>
        <f>267022558+25000000+11804220+35899362+2954659+41266345-11804220+4000000+896074+17250000+7067000</f>
        <v>401355998</v>
      </c>
      <c r="AA68" s="59"/>
      <c r="AB68" s="27">
        <f t="shared" ref="AB68:AB91" si="85">+AC68/G68</f>
        <v>0.97525749197848044</v>
      </c>
      <c r="AC68" s="25">
        <f t="shared" si="71"/>
        <v>391425444</v>
      </c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>
        <f>+'[1]AGOSTO 2016'!$G$2792</f>
        <v>391425444</v>
      </c>
      <c r="AX68" s="27">
        <f t="shared" ref="AX68:AX91" si="86">1-AB68</f>
        <v>2.474250802151956E-2</v>
      </c>
      <c r="AY68" s="25">
        <f t="shared" si="72"/>
        <v>9930554</v>
      </c>
      <c r="AZ68" s="25">
        <f t="shared" si="73"/>
        <v>0</v>
      </c>
      <c r="BA68" s="25">
        <f t="shared" si="73"/>
        <v>0</v>
      </c>
      <c r="BB68" s="25">
        <f t="shared" si="73"/>
        <v>0</v>
      </c>
      <c r="BC68" s="25">
        <f t="shared" si="74"/>
        <v>0</v>
      </c>
      <c r="BD68" s="25">
        <f t="shared" si="74"/>
        <v>0</v>
      </c>
      <c r="BE68" s="25">
        <f t="shared" si="74"/>
        <v>0</v>
      </c>
      <c r="BF68" s="25">
        <f>+N68-AK68</f>
        <v>0</v>
      </c>
      <c r="BG68" s="25">
        <f t="shared" si="74"/>
        <v>0</v>
      </c>
      <c r="BH68" s="25">
        <f t="shared" si="74"/>
        <v>0</v>
      </c>
      <c r="BI68" s="25">
        <f t="shared" si="74"/>
        <v>0</v>
      </c>
      <c r="BJ68" s="25">
        <f t="shared" si="74"/>
        <v>0</v>
      </c>
      <c r="BK68" s="25">
        <f t="shared" si="74"/>
        <v>0</v>
      </c>
      <c r="BL68" s="25">
        <f>+T68-AQ68</f>
        <v>0</v>
      </c>
      <c r="BM68" s="25">
        <f t="shared" si="74"/>
        <v>0</v>
      </c>
      <c r="BN68" s="25">
        <f t="shared" si="74"/>
        <v>0</v>
      </c>
      <c r="BO68" s="25"/>
      <c r="BP68" s="25"/>
      <c r="BQ68" s="25">
        <f t="shared" si="75"/>
        <v>0</v>
      </c>
      <c r="BR68" s="25">
        <f t="shared" si="76"/>
        <v>9930554</v>
      </c>
      <c r="BS68" s="27">
        <f t="shared" ref="BS68:BS91" si="87">+BT68/G68</f>
        <v>0.95542125173372894</v>
      </c>
      <c r="BT68" s="25">
        <f t="shared" si="77"/>
        <v>383464050</v>
      </c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>
        <f>+'[1]AGOSTO 2016'!$H$2792</f>
        <v>383464050</v>
      </c>
      <c r="CO68" s="27">
        <f t="shared" si="78"/>
        <v>4.4578748266271062E-2</v>
      </c>
      <c r="CP68" s="25">
        <f t="shared" si="79"/>
        <v>17891948</v>
      </c>
      <c r="CQ68" s="25">
        <f t="shared" si="80"/>
        <v>0</v>
      </c>
      <c r="CR68" s="25">
        <f t="shared" si="80"/>
        <v>0</v>
      </c>
      <c r="CS68" s="25">
        <f t="shared" si="80"/>
        <v>0</v>
      </c>
      <c r="CT68" s="25">
        <f t="shared" si="80"/>
        <v>0</v>
      </c>
      <c r="CU68" s="25">
        <f t="shared" si="80"/>
        <v>0</v>
      </c>
      <c r="CV68" s="25">
        <f t="shared" si="80"/>
        <v>0</v>
      </c>
      <c r="CW68" s="25">
        <f t="shared" si="81"/>
        <v>0</v>
      </c>
      <c r="CX68" s="25">
        <f t="shared" si="81"/>
        <v>0</v>
      </c>
      <c r="CY68" s="25">
        <f t="shared" si="81"/>
        <v>0</v>
      </c>
      <c r="CZ68" s="25">
        <f t="shared" si="82"/>
        <v>0</v>
      </c>
      <c r="DA68" s="25">
        <f t="shared" si="82"/>
        <v>0</v>
      </c>
      <c r="DB68" s="25">
        <f t="shared" si="82"/>
        <v>0</v>
      </c>
      <c r="DC68" s="25">
        <f t="shared" si="83"/>
        <v>0</v>
      </c>
      <c r="DD68" s="25">
        <f t="shared" si="83"/>
        <v>0</v>
      </c>
      <c r="DE68" s="25">
        <f t="shared" si="83"/>
        <v>0</v>
      </c>
      <c r="DF68" s="25"/>
      <c r="DG68" s="25">
        <f t="shared" si="84"/>
        <v>0</v>
      </c>
      <c r="DH68" s="56">
        <f t="shared" si="84"/>
        <v>0</v>
      </c>
      <c r="DI68" s="25">
        <f t="shared" si="84"/>
        <v>17891948</v>
      </c>
      <c r="DK68" s="78"/>
      <c r="DL68" s="78"/>
      <c r="DM68" s="276">
        <f t="shared" si="44"/>
        <v>401355998</v>
      </c>
      <c r="DN68" s="277">
        <f t="shared" si="45"/>
        <v>383464050</v>
      </c>
      <c r="DO68" s="278">
        <f t="shared" si="69"/>
        <v>0.95542125173372894</v>
      </c>
    </row>
    <row r="69" spans="1:119" ht="36" hidden="1" customHeight="1" x14ac:dyDescent="0.25">
      <c r="A69" s="184"/>
      <c r="B69" s="187"/>
      <c r="C69" s="21" t="s">
        <v>208</v>
      </c>
      <c r="D69" s="22" t="s">
        <v>209</v>
      </c>
      <c r="E69" s="23">
        <v>520</v>
      </c>
      <c r="F69" s="24" t="s">
        <v>91</v>
      </c>
      <c r="G69" s="25">
        <f t="shared" si="70"/>
        <v>20000000</v>
      </c>
      <c r="H69" s="36"/>
      <c r="I69" s="36"/>
      <c r="J69" s="36"/>
      <c r="K69" s="25">
        <v>20000000</v>
      </c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59"/>
      <c r="AB69" s="27">
        <f t="shared" si="85"/>
        <v>0</v>
      </c>
      <c r="AC69" s="25">
        <f t="shared" si="71"/>
        <v>0</v>
      </c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7">
        <f t="shared" si="86"/>
        <v>1</v>
      </c>
      <c r="AY69" s="25">
        <f t="shared" si="72"/>
        <v>20000000</v>
      </c>
      <c r="AZ69" s="25">
        <f t="shared" si="73"/>
        <v>0</v>
      </c>
      <c r="BA69" s="25">
        <f t="shared" si="73"/>
        <v>0</v>
      </c>
      <c r="BB69" s="25">
        <f t="shared" si="73"/>
        <v>0</v>
      </c>
      <c r="BC69" s="25">
        <f t="shared" si="73"/>
        <v>20000000</v>
      </c>
      <c r="BD69" s="25">
        <f t="shared" si="73"/>
        <v>0</v>
      </c>
      <c r="BE69" s="25">
        <f t="shared" si="73"/>
        <v>0</v>
      </c>
      <c r="BF69" s="25">
        <f t="shared" si="73"/>
        <v>0</v>
      </c>
      <c r="BG69" s="25">
        <f t="shared" si="73"/>
        <v>0</v>
      </c>
      <c r="BH69" s="25">
        <f t="shared" si="73"/>
        <v>0</v>
      </c>
      <c r="BI69" s="25">
        <f t="shared" si="73"/>
        <v>0</v>
      </c>
      <c r="BJ69" s="25">
        <f t="shared" si="73"/>
        <v>0</v>
      </c>
      <c r="BK69" s="25">
        <f t="shared" si="73"/>
        <v>0</v>
      </c>
      <c r="BL69" s="25">
        <f t="shared" si="73"/>
        <v>0</v>
      </c>
      <c r="BM69" s="25">
        <f t="shared" si="73"/>
        <v>0</v>
      </c>
      <c r="BN69" s="25">
        <f t="shared" si="73"/>
        <v>0</v>
      </c>
      <c r="BO69" s="25"/>
      <c r="BP69" s="25">
        <f>X69-AU69</f>
        <v>0</v>
      </c>
      <c r="BQ69" s="25">
        <f t="shared" si="75"/>
        <v>0</v>
      </c>
      <c r="BR69" s="25">
        <f>Z69-AW69</f>
        <v>0</v>
      </c>
      <c r="BS69" s="27">
        <f t="shared" si="87"/>
        <v>0</v>
      </c>
      <c r="BT69" s="25">
        <f t="shared" si="77"/>
        <v>0</v>
      </c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7">
        <f t="shared" si="78"/>
        <v>1</v>
      </c>
      <c r="CP69" s="25">
        <f t="shared" si="79"/>
        <v>20000000</v>
      </c>
      <c r="CQ69" s="25">
        <f t="shared" si="80"/>
        <v>0</v>
      </c>
      <c r="CR69" s="25">
        <f t="shared" si="80"/>
        <v>0</v>
      </c>
      <c r="CS69" s="25">
        <f t="shared" si="80"/>
        <v>0</v>
      </c>
      <c r="CT69" s="25">
        <f t="shared" si="80"/>
        <v>20000000</v>
      </c>
      <c r="CU69" s="25">
        <f t="shared" si="80"/>
        <v>0</v>
      </c>
      <c r="CV69" s="25">
        <f t="shared" si="80"/>
        <v>0</v>
      </c>
      <c r="CW69" s="25">
        <f t="shared" si="80"/>
        <v>0</v>
      </c>
      <c r="CX69" s="25">
        <f t="shared" si="80"/>
        <v>0</v>
      </c>
      <c r="CY69" s="25">
        <f t="shared" si="80"/>
        <v>0</v>
      </c>
      <c r="CZ69" s="25">
        <f t="shared" si="82"/>
        <v>0</v>
      </c>
      <c r="DA69" s="25">
        <f t="shared" si="82"/>
        <v>0</v>
      </c>
      <c r="DB69" s="25">
        <f t="shared" si="82"/>
        <v>0</v>
      </c>
      <c r="DC69" s="25">
        <f t="shared" si="82"/>
        <v>0</v>
      </c>
      <c r="DD69" s="25">
        <f t="shared" si="82"/>
        <v>0</v>
      </c>
      <c r="DE69" s="25">
        <f t="shared" si="82"/>
        <v>0</v>
      </c>
      <c r="DF69" s="25"/>
      <c r="DG69" s="25">
        <f t="shared" ref="DG69:DI70" si="88">X69-CL69</f>
        <v>0</v>
      </c>
      <c r="DH69" s="25">
        <f t="shared" si="88"/>
        <v>0</v>
      </c>
      <c r="DI69" s="25">
        <f t="shared" si="88"/>
        <v>0</v>
      </c>
      <c r="DK69" s="78"/>
      <c r="DL69" s="78"/>
      <c r="DM69" s="276">
        <f t="shared" si="44"/>
        <v>20000000</v>
      </c>
      <c r="DN69" s="277">
        <f t="shared" si="45"/>
        <v>0</v>
      </c>
      <c r="DO69" s="278">
        <f t="shared" si="69"/>
        <v>0</v>
      </c>
    </row>
    <row r="70" spans="1:119" ht="34.5" hidden="1" customHeight="1" x14ac:dyDescent="0.25">
      <c r="A70" s="185"/>
      <c r="B70" s="188"/>
      <c r="C70" s="21" t="s">
        <v>210</v>
      </c>
      <c r="D70" s="22" t="s">
        <v>211</v>
      </c>
      <c r="E70" s="23">
        <v>520</v>
      </c>
      <c r="F70" s="24" t="s">
        <v>91</v>
      </c>
      <c r="G70" s="25">
        <f t="shared" si="70"/>
        <v>20000000</v>
      </c>
      <c r="H70" s="36"/>
      <c r="I70" s="36"/>
      <c r="J70" s="36"/>
      <c r="K70" s="25">
        <v>20000000</v>
      </c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59"/>
      <c r="AB70" s="27">
        <f t="shared" si="85"/>
        <v>0.76</v>
      </c>
      <c r="AC70" s="25">
        <f t="shared" si="71"/>
        <v>15200000</v>
      </c>
      <c r="AD70" s="25"/>
      <c r="AE70" s="25"/>
      <c r="AF70" s="25"/>
      <c r="AG70" s="25"/>
      <c r="AH70" s="25">
        <f>+'[3]ABRIL 2016'!$O$1527</f>
        <v>15200000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7">
        <f t="shared" si="86"/>
        <v>0.24</v>
      </c>
      <c r="AY70" s="25">
        <f t="shared" si="72"/>
        <v>4800000</v>
      </c>
      <c r="AZ70" s="25">
        <f t="shared" si="73"/>
        <v>0</v>
      </c>
      <c r="BA70" s="25">
        <f t="shared" si="73"/>
        <v>0</v>
      </c>
      <c r="BB70" s="25">
        <f t="shared" si="73"/>
        <v>0</v>
      </c>
      <c r="BC70" s="25">
        <f t="shared" si="73"/>
        <v>4800000</v>
      </c>
      <c r="BD70" s="25">
        <f t="shared" si="73"/>
        <v>0</v>
      </c>
      <c r="BE70" s="25">
        <f t="shared" si="73"/>
        <v>0</v>
      </c>
      <c r="BF70" s="25">
        <f t="shared" si="73"/>
        <v>0</v>
      </c>
      <c r="BG70" s="25">
        <f t="shared" si="73"/>
        <v>0</v>
      </c>
      <c r="BH70" s="25">
        <f t="shared" si="73"/>
        <v>0</v>
      </c>
      <c r="BI70" s="25">
        <f t="shared" si="73"/>
        <v>0</v>
      </c>
      <c r="BJ70" s="25">
        <f t="shared" si="73"/>
        <v>0</v>
      </c>
      <c r="BK70" s="25">
        <f t="shared" si="73"/>
        <v>0</v>
      </c>
      <c r="BL70" s="25">
        <f t="shared" si="73"/>
        <v>0</v>
      </c>
      <c r="BM70" s="25">
        <f t="shared" si="73"/>
        <v>0</v>
      </c>
      <c r="BN70" s="25">
        <f t="shared" si="73"/>
        <v>0</v>
      </c>
      <c r="BO70" s="25"/>
      <c r="BP70" s="25">
        <f>X70-AU70</f>
        <v>0</v>
      </c>
      <c r="BQ70" s="25">
        <f t="shared" si="75"/>
        <v>0</v>
      </c>
      <c r="BR70" s="25">
        <f>Z70-AW70</f>
        <v>0</v>
      </c>
      <c r="BS70" s="27">
        <f t="shared" si="87"/>
        <v>0.62436239999999998</v>
      </c>
      <c r="BT70" s="25">
        <f t="shared" si="77"/>
        <v>12487248</v>
      </c>
      <c r="BU70" s="25"/>
      <c r="BV70" s="25"/>
      <c r="BW70" s="25"/>
      <c r="BX70" s="25"/>
      <c r="BY70" s="25">
        <f>+'[8]MAYO 2016'!$H$1761</f>
        <v>12487248</v>
      </c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7">
        <f t="shared" si="78"/>
        <v>0.37563760000000002</v>
      </c>
      <c r="CP70" s="25">
        <f t="shared" si="79"/>
        <v>7512752</v>
      </c>
      <c r="CQ70" s="25">
        <f t="shared" si="80"/>
        <v>0</v>
      </c>
      <c r="CR70" s="25">
        <f t="shared" si="80"/>
        <v>0</v>
      </c>
      <c r="CS70" s="25">
        <f t="shared" si="80"/>
        <v>0</v>
      </c>
      <c r="CT70" s="25">
        <f t="shared" si="80"/>
        <v>7512752</v>
      </c>
      <c r="CU70" s="25">
        <f t="shared" si="80"/>
        <v>0</v>
      </c>
      <c r="CV70" s="25">
        <f t="shared" si="80"/>
        <v>0</v>
      </c>
      <c r="CW70" s="25">
        <f t="shared" si="80"/>
        <v>0</v>
      </c>
      <c r="CX70" s="25">
        <f t="shared" si="80"/>
        <v>0</v>
      </c>
      <c r="CY70" s="25">
        <f t="shared" si="80"/>
        <v>0</v>
      </c>
      <c r="CZ70" s="25">
        <f t="shared" si="82"/>
        <v>0</v>
      </c>
      <c r="DA70" s="25">
        <f t="shared" si="82"/>
        <v>0</v>
      </c>
      <c r="DB70" s="25">
        <f t="shared" si="82"/>
        <v>0</v>
      </c>
      <c r="DC70" s="25">
        <f t="shared" si="82"/>
        <v>0</v>
      </c>
      <c r="DD70" s="25">
        <f t="shared" si="82"/>
        <v>0</v>
      </c>
      <c r="DE70" s="25">
        <f t="shared" si="82"/>
        <v>0</v>
      </c>
      <c r="DF70" s="25"/>
      <c r="DG70" s="25">
        <f t="shared" si="88"/>
        <v>0</v>
      </c>
      <c r="DH70" s="25">
        <f t="shared" si="88"/>
        <v>0</v>
      </c>
      <c r="DI70" s="25">
        <f t="shared" si="88"/>
        <v>0</v>
      </c>
      <c r="DK70" s="78"/>
      <c r="DL70" s="78"/>
      <c r="DM70" s="276">
        <f t="shared" si="44"/>
        <v>20000000</v>
      </c>
      <c r="DN70" s="277">
        <f t="shared" si="45"/>
        <v>12487248</v>
      </c>
      <c r="DO70" s="278">
        <f t="shared" si="69"/>
        <v>0.62436239999999998</v>
      </c>
    </row>
    <row r="71" spans="1:119" ht="33" hidden="1" customHeight="1" x14ac:dyDescent="0.25">
      <c r="A71" s="183" t="s">
        <v>179</v>
      </c>
      <c r="B71" s="197" t="s">
        <v>212</v>
      </c>
      <c r="C71" s="21" t="s">
        <v>213</v>
      </c>
      <c r="D71" s="22" t="s">
        <v>214</v>
      </c>
      <c r="E71" s="23">
        <v>520</v>
      </c>
      <c r="F71" s="24" t="s">
        <v>91</v>
      </c>
      <c r="G71" s="25">
        <f t="shared" si="70"/>
        <v>10000000</v>
      </c>
      <c r="H71" s="36"/>
      <c r="I71" s="25"/>
      <c r="J71" s="25"/>
      <c r="K71" s="25">
        <f>20000000-10000000</f>
        <v>10000000</v>
      </c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59"/>
      <c r="AB71" s="27">
        <f t="shared" si="85"/>
        <v>0</v>
      </c>
      <c r="AC71" s="25">
        <f t="shared" si="71"/>
        <v>0</v>
      </c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7">
        <f t="shared" si="86"/>
        <v>1</v>
      </c>
      <c r="AY71" s="25">
        <f t="shared" si="72"/>
        <v>10000000</v>
      </c>
      <c r="AZ71" s="25">
        <f t="shared" si="73"/>
        <v>0</v>
      </c>
      <c r="BA71" s="25">
        <f t="shared" si="73"/>
        <v>0</v>
      </c>
      <c r="BB71" s="25">
        <f t="shared" si="73"/>
        <v>0</v>
      </c>
      <c r="BC71" s="25">
        <f t="shared" ref="BC71:BN86" si="89">+K71-AH71</f>
        <v>10000000</v>
      </c>
      <c r="BD71" s="25">
        <f t="shared" si="89"/>
        <v>0</v>
      </c>
      <c r="BE71" s="25">
        <f t="shared" si="89"/>
        <v>0</v>
      </c>
      <c r="BF71" s="25">
        <f t="shared" si="89"/>
        <v>0</v>
      </c>
      <c r="BG71" s="25">
        <f t="shared" si="89"/>
        <v>0</v>
      </c>
      <c r="BH71" s="25">
        <f t="shared" si="89"/>
        <v>0</v>
      </c>
      <c r="BI71" s="25">
        <f t="shared" si="89"/>
        <v>0</v>
      </c>
      <c r="BJ71" s="25">
        <f t="shared" si="89"/>
        <v>0</v>
      </c>
      <c r="BK71" s="25">
        <f t="shared" si="89"/>
        <v>0</v>
      </c>
      <c r="BL71" s="25">
        <f t="shared" si="89"/>
        <v>0</v>
      </c>
      <c r="BM71" s="25">
        <f t="shared" si="89"/>
        <v>0</v>
      </c>
      <c r="BN71" s="25">
        <f t="shared" si="89"/>
        <v>0</v>
      </c>
      <c r="BO71" s="25"/>
      <c r="BP71" s="25"/>
      <c r="BQ71" s="25">
        <f t="shared" si="75"/>
        <v>0</v>
      </c>
      <c r="BR71" s="25">
        <f t="shared" ref="BR71:BR90" si="90">+Z71-AW71</f>
        <v>0</v>
      </c>
      <c r="BS71" s="27">
        <f t="shared" si="87"/>
        <v>0</v>
      </c>
      <c r="BT71" s="25">
        <f t="shared" si="77"/>
        <v>0</v>
      </c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7">
        <f t="shared" si="78"/>
        <v>1</v>
      </c>
      <c r="CP71" s="25">
        <f t="shared" si="79"/>
        <v>10000000</v>
      </c>
      <c r="CQ71" s="25">
        <f t="shared" si="80"/>
        <v>0</v>
      </c>
      <c r="CR71" s="25">
        <f t="shared" si="80"/>
        <v>0</v>
      </c>
      <c r="CS71" s="25">
        <f t="shared" si="80"/>
        <v>0</v>
      </c>
      <c r="CT71" s="25">
        <f t="shared" si="80"/>
        <v>10000000</v>
      </c>
      <c r="CU71" s="25">
        <f t="shared" si="80"/>
        <v>0</v>
      </c>
      <c r="CV71" s="25">
        <f t="shared" si="80"/>
        <v>0</v>
      </c>
      <c r="CW71" s="25">
        <f t="shared" ref="CW71:CY73" si="91">+N71-CB71</f>
        <v>0</v>
      </c>
      <c r="CX71" s="25">
        <f t="shared" si="91"/>
        <v>0</v>
      </c>
      <c r="CY71" s="25">
        <f t="shared" si="91"/>
        <v>0</v>
      </c>
      <c r="CZ71" s="25">
        <f t="shared" si="82"/>
        <v>0</v>
      </c>
      <c r="DA71" s="25">
        <f t="shared" si="82"/>
        <v>0</v>
      </c>
      <c r="DB71" s="25">
        <f t="shared" si="82"/>
        <v>0</v>
      </c>
      <c r="DC71" s="25">
        <f t="shared" ref="DC71:DE82" si="92">+T71-CH71</f>
        <v>0</v>
      </c>
      <c r="DD71" s="25">
        <f t="shared" si="92"/>
        <v>0</v>
      </c>
      <c r="DE71" s="25">
        <f t="shared" si="92"/>
        <v>0</v>
      </c>
      <c r="DF71" s="25"/>
      <c r="DG71" s="25">
        <f t="shared" ref="DG71:DI82" si="93">+X71-CL71</f>
        <v>0</v>
      </c>
      <c r="DH71" s="56">
        <f t="shared" si="93"/>
        <v>0</v>
      </c>
      <c r="DI71" s="25">
        <f t="shared" si="93"/>
        <v>0</v>
      </c>
      <c r="DK71" s="78"/>
      <c r="DL71" s="78"/>
      <c r="DM71" s="276">
        <f t="shared" si="44"/>
        <v>10000000</v>
      </c>
      <c r="DN71" s="277">
        <f t="shared" si="45"/>
        <v>0</v>
      </c>
      <c r="DO71" s="278">
        <f t="shared" si="69"/>
        <v>0</v>
      </c>
    </row>
    <row r="72" spans="1:119" ht="35.25" hidden="1" customHeight="1" x14ac:dyDescent="0.25">
      <c r="A72" s="184"/>
      <c r="B72" s="198"/>
      <c r="C72" s="21" t="s">
        <v>215</v>
      </c>
      <c r="D72" s="22" t="s">
        <v>216</v>
      </c>
      <c r="E72" s="23">
        <v>520</v>
      </c>
      <c r="F72" s="24" t="s">
        <v>91</v>
      </c>
      <c r="G72" s="25">
        <f t="shared" si="70"/>
        <v>20000000</v>
      </c>
      <c r="H72" s="36"/>
      <c r="I72" s="25"/>
      <c r="J72" s="25"/>
      <c r="K72" s="25">
        <v>20000000</v>
      </c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59"/>
      <c r="AB72" s="27">
        <f t="shared" si="85"/>
        <v>0.89853749999999999</v>
      </c>
      <c r="AC72" s="25">
        <f t="shared" si="71"/>
        <v>17970750</v>
      </c>
      <c r="AD72" s="25"/>
      <c r="AE72" s="25"/>
      <c r="AF72" s="25"/>
      <c r="AG72" s="25"/>
      <c r="AH72" s="25">
        <f>+'[1]AGOSTO 2016'!$G$2917</f>
        <v>17970750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7">
        <f t="shared" si="86"/>
        <v>0.10146250000000001</v>
      </c>
      <c r="AY72" s="25">
        <f t="shared" si="72"/>
        <v>2029250</v>
      </c>
      <c r="AZ72" s="25">
        <f t="shared" si="73"/>
        <v>0</v>
      </c>
      <c r="BA72" s="25">
        <f t="shared" si="73"/>
        <v>0</v>
      </c>
      <c r="BB72" s="25">
        <f t="shared" si="73"/>
        <v>0</v>
      </c>
      <c r="BC72" s="25">
        <f t="shared" si="89"/>
        <v>2029250</v>
      </c>
      <c r="BD72" s="25">
        <f t="shared" si="89"/>
        <v>0</v>
      </c>
      <c r="BE72" s="25">
        <f t="shared" si="89"/>
        <v>0</v>
      </c>
      <c r="BF72" s="25">
        <f t="shared" si="89"/>
        <v>0</v>
      </c>
      <c r="BG72" s="25">
        <f t="shared" si="89"/>
        <v>0</v>
      </c>
      <c r="BH72" s="25">
        <f t="shared" si="89"/>
        <v>0</v>
      </c>
      <c r="BI72" s="25">
        <f t="shared" si="89"/>
        <v>0</v>
      </c>
      <c r="BJ72" s="25">
        <f t="shared" si="89"/>
        <v>0</v>
      </c>
      <c r="BK72" s="25">
        <f t="shared" si="89"/>
        <v>0</v>
      </c>
      <c r="BL72" s="25">
        <f t="shared" si="89"/>
        <v>0</v>
      </c>
      <c r="BM72" s="25">
        <f t="shared" si="89"/>
        <v>0</v>
      </c>
      <c r="BN72" s="25">
        <f t="shared" si="89"/>
        <v>0</v>
      </c>
      <c r="BO72" s="25"/>
      <c r="BP72" s="25"/>
      <c r="BQ72" s="25">
        <f t="shared" si="75"/>
        <v>0</v>
      </c>
      <c r="BR72" s="25">
        <f t="shared" si="90"/>
        <v>0</v>
      </c>
      <c r="BS72" s="27">
        <f t="shared" si="87"/>
        <v>0.89853749999999999</v>
      </c>
      <c r="BT72" s="25">
        <f t="shared" si="77"/>
        <v>17970750</v>
      </c>
      <c r="BU72" s="25"/>
      <c r="BV72" s="25"/>
      <c r="BW72" s="25"/>
      <c r="BX72" s="25"/>
      <c r="BY72" s="25">
        <f>+'[4]ENERO 2016'!$H$769</f>
        <v>17970750</v>
      </c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7">
        <f t="shared" si="78"/>
        <v>0.10146250000000001</v>
      </c>
      <c r="CP72" s="25">
        <f t="shared" si="79"/>
        <v>2029250</v>
      </c>
      <c r="CQ72" s="25">
        <f t="shared" si="80"/>
        <v>0</v>
      </c>
      <c r="CR72" s="25">
        <f t="shared" si="80"/>
        <v>0</v>
      </c>
      <c r="CS72" s="25">
        <f t="shared" si="80"/>
        <v>0</v>
      </c>
      <c r="CT72" s="25">
        <f t="shared" si="80"/>
        <v>2029250</v>
      </c>
      <c r="CU72" s="25">
        <f t="shared" si="80"/>
        <v>0</v>
      </c>
      <c r="CV72" s="25">
        <f t="shared" si="80"/>
        <v>0</v>
      </c>
      <c r="CW72" s="25">
        <f t="shared" si="91"/>
        <v>0</v>
      </c>
      <c r="CX72" s="25">
        <f t="shared" si="91"/>
        <v>0</v>
      </c>
      <c r="CY72" s="25">
        <f t="shared" si="91"/>
        <v>0</v>
      </c>
      <c r="CZ72" s="25">
        <f t="shared" si="82"/>
        <v>0</v>
      </c>
      <c r="DA72" s="25">
        <f t="shared" si="82"/>
        <v>0</v>
      </c>
      <c r="DB72" s="25">
        <f t="shared" si="82"/>
        <v>0</v>
      </c>
      <c r="DC72" s="25">
        <f t="shared" si="92"/>
        <v>0</v>
      </c>
      <c r="DD72" s="25">
        <f t="shared" si="92"/>
        <v>0</v>
      </c>
      <c r="DE72" s="25">
        <f t="shared" si="92"/>
        <v>0</v>
      </c>
      <c r="DF72" s="25"/>
      <c r="DG72" s="25">
        <f t="shared" si="93"/>
        <v>0</v>
      </c>
      <c r="DH72" s="56">
        <f t="shared" si="93"/>
        <v>0</v>
      </c>
      <c r="DI72" s="25">
        <f t="shared" si="93"/>
        <v>0</v>
      </c>
      <c r="DK72" s="78"/>
      <c r="DL72" s="78"/>
      <c r="DM72" s="276">
        <f t="shared" si="44"/>
        <v>20000000</v>
      </c>
      <c r="DN72" s="277">
        <f t="shared" si="45"/>
        <v>17970750</v>
      </c>
      <c r="DO72" s="278">
        <f t="shared" si="69"/>
        <v>0.89853749999999999</v>
      </c>
    </row>
    <row r="73" spans="1:119" ht="33.75" hidden="1" customHeight="1" x14ac:dyDescent="0.25">
      <c r="A73" s="184"/>
      <c r="B73" s="198"/>
      <c r="C73" s="21" t="s">
        <v>217</v>
      </c>
      <c r="D73" s="22" t="s">
        <v>218</v>
      </c>
      <c r="E73" s="23">
        <v>520</v>
      </c>
      <c r="F73" s="24" t="s">
        <v>76</v>
      </c>
      <c r="G73" s="25">
        <f t="shared" si="70"/>
        <v>1000000</v>
      </c>
      <c r="H73" s="36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>
        <f>3000000-2000000</f>
        <v>1000000</v>
      </c>
      <c r="AA73" s="59"/>
      <c r="AB73" s="27">
        <f t="shared" si="85"/>
        <v>1</v>
      </c>
      <c r="AC73" s="25">
        <f t="shared" si="71"/>
        <v>1000000</v>
      </c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>
        <f>+'[3]ABRIL 2016'!$G$1547</f>
        <v>1000000</v>
      </c>
      <c r="AX73" s="27">
        <f t="shared" si="86"/>
        <v>0</v>
      </c>
      <c r="AY73" s="25">
        <f t="shared" si="72"/>
        <v>0</v>
      </c>
      <c r="AZ73" s="25">
        <f t="shared" si="73"/>
        <v>0</v>
      </c>
      <c r="BA73" s="25">
        <f t="shared" si="73"/>
        <v>0</v>
      </c>
      <c r="BB73" s="25">
        <f t="shared" si="73"/>
        <v>0</v>
      </c>
      <c r="BC73" s="25">
        <f t="shared" si="89"/>
        <v>0</v>
      </c>
      <c r="BD73" s="25">
        <f t="shared" si="89"/>
        <v>0</v>
      </c>
      <c r="BE73" s="25">
        <f t="shared" si="89"/>
        <v>0</v>
      </c>
      <c r="BF73" s="25">
        <f t="shared" si="89"/>
        <v>0</v>
      </c>
      <c r="BG73" s="25">
        <f t="shared" si="89"/>
        <v>0</v>
      </c>
      <c r="BH73" s="25">
        <f t="shared" si="89"/>
        <v>0</v>
      </c>
      <c r="BI73" s="25">
        <f t="shared" si="89"/>
        <v>0</v>
      </c>
      <c r="BJ73" s="25">
        <f t="shared" si="89"/>
        <v>0</v>
      </c>
      <c r="BK73" s="25">
        <f t="shared" si="89"/>
        <v>0</v>
      </c>
      <c r="BL73" s="25">
        <f t="shared" si="89"/>
        <v>0</v>
      </c>
      <c r="BM73" s="25">
        <f t="shared" si="89"/>
        <v>0</v>
      </c>
      <c r="BN73" s="25">
        <f t="shared" si="89"/>
        <v>0</v>
      </c>
      <c r="BO73" s="25"/>
      <c r="BP73" s="25"/>
      <c r="BQ73" s="25">
        <f t="shared" si="75"/>
        <v>0</v>
      </c>
      <c r="BR73" s="25">
        <f t="shared" si="90"/>
        <v>0</v>
      </c>
      <c r="BS73" s="27">
        <f t="shared" si="87"/>
        <v>1</v>
      </c>
      <c r="BT73" s="25">
        <f t="shared" si="77"/>
        <v>1000000</v>
      </c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>
        <f>+'[3]ABRIL 2016'!$H$1547</f>
        <v>1000000</v>
      </c>
      <c r="CO73" s="27">
        <f t="shared" si="78"/>
        <v>0</v>
      </c>
      <c r="CP73" s="25">
        <f t="shared" si="79"/>
        <v>0</v>
      </c>
      <c r="CQ73" s="25">
        <f t="shared" si="80"/>
        <v>0</v>
      </c>
      <c r="CR73" s="25">
        <f t="shared" si="80"/>
        <v>0</v>
      </c>
      <c r="CS73" s="25">
        <f t="shared" si="80"/>
        <v>0</v>
      </c>
      <c r="CT73" s="25">
        <f t="shared" si="80"/>
        <v>0</v>
      </c>
      <c r="CU73" s="25">
        <f t="shared" si="80"/>
        <v>0</v>
      </c>
      <c r="CV73" s="25">
        <f t="shared" si="80"/>
        <v>0</v>
      </c>
      <c r="CW73" s="25">
        <f t="shared" si="91"/>
        <v>0</v>
      </c>
      <c r="CX73" s="25">
        <f t="shared" si="91"/>
        <v>0</v>
      </c>
      <c r="CY73" s="25">
        <f t="shared" si="91"/>
        <v>0</v>
      </c>
      <c r="CZ73" s="25">
        <f t="shared" si="82"/>
        <v>0</v>
      </c>
      <c r="DA73" s="25">
        <f t="shared" si="82"/>
        <v>0</v>
      </c>
      <c r="DB73" s="25">
        <f t="shared" si="82"/>
        <v>0</v>
      </c>
      <c r="DC73" s="25">
        <f t="shared" si="92"/>
        <v>0</v>
      </c>
      <c r="DD73" s="25">
        <f t="shared" si="92"/>
        <v>0</v>
      </c>
      <c r="DE73" s="25">
        <f t="shared" si="92"/>
        <v>0</v>
      </c>
      <c r="DF73" s="25"/>
      <c r="DG73" s="25">
        <f t="shared" si="93"/>
        <v>0</v>
      </c>
      <c r="DH73" s="56">
        <f t="shared" si="93"/>
        <v>0</v>
      </c>
      <c r="DI73" s="25">
        <f t="shared" si="93"/>
        <v>0</v>
      </c>
      <c r="DK73" s="78"/>
      <c r="DL73" s="78"/>
      <c r="DM73" s="276">
        <f t="shared" si="44"/>
        <v>1000000</v>
      </c>
      <c r="DN73" s="277">
        <f t="shared" si="45"/>
        <v>1000000</v>
      </c>
      <c r="DO73" s="278">
        <f t="shared" si="69"/>
        <v>1</v>
      </c>
    </row>
    <row r="74" spans="1:119" ht="33" hidden="1" customHeight="1" x14ac:dyDescent="0.25">
      <c r="A74" s="184"/>
      <c r="B74" s="198"/>
      <c r="C74" s="21" t="s">
        <v>219</v>
      </c>
      <c r="D74" s="22" t="s">
        <v>220</v>
      </c>
      <c r="E74" s="23">
        <v>520</v>
      </c>
      <c r="F74" s="24" t="s">
        <v>91</v>
      </c>
      <c r="G74" s="25">
        <f t="shared" si="70"/>
        <v>5000000</v>
      </c>
      <c r="H74" s="36"/>
      <c r="I74" s="25"/>
      <c r="J74" s="25"/>
      <c r="K74" s="25">
        <v>5000000</v>
      </c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59"/>
      <c r="AB74" s="27">
        <f t="shared" si="85"/>
        <v>0</v>
      </c>
      <c r="AC74" s="25">
        <f t="shared" si="71"/>
        <v>0</v>
      </c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7">
        <f t="shared" si="86"/>
        <v>1</v>
      </c>
      <c r="AY74" s="25">
        <f t="shared" si="72"/>
        <v>5000000</v>
      </c>
      <c r="AZ74" s="25">
        <f t="shared" si="73"/>
        <v>0</v>
      </c>
      <c r="BA74" s="25">
        <f t="shared" si="73"/>
        <v>0</v>
      </c>
      <c r="BB74" s="25">
        <f t="shared" si="73"/>
        <v>0</v>
      </c>
      <c r="BC74" s="25">
        <f t="shared" si="89"/>
        <v>5000000</v>
      </c>
      <c r="BD74" s="25"/>
      <c r="BE74" s="25"/>
      <c r="BF74" s="25"/>
      <c r="BG74" s="25"/>
      <c r="BH74" s="25"/>
      <c r="BI74" s="25">
        <f t="shared" si="89"/>
        <v>0</v>
      </c>
      <c r="BJ74" s="25">
        <f t="shared" si="89"/>
        <v>0</v>
      </c>
      <c r="BK74" s="25">
        <f t="shared" si="89"/>
        <v>0</v>
      </c>
      <c r="BL74" s="25"/>
      <c r="BM74" s="25">
        <f t="shared" si="89"/>
        <v>0</v>
      </c>
      <c r="BN74" s="25">
        <f t="shared" si="89"/>
        <v>0</v>
      </c>
      <c r="BO74" s="25"/>
      <c r="BP74" s="25"/>
      <c r="BQ74" s="25">
        <f t="shared" si="75"/>
        <v>0</v>
      </c>
      <c r="BR74" s="25">
        <f t="shared" si="90"/>
        <v>0</v>
      </c>
      <c r="BS74" s="27">
        <f t="shared" si="87"/>
        <v>0</v>
      </c>
      <c r="BT74" s="25">
        <f t="shared" si="77"/>
        <v>0</v>
      </c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7">
        <f t="shared" si="78"/>
        <v>1</v>
      </c>
      <c r="CP74" s="25">
        <f t="shared" si="79"/>
        <v>5000000</v>
      </c>
      <c r="CQ74" s="25">
        <f t="shared" si="80"/>
        <v>0</v>
      </c>
      <c r="CR74" s="25">
        <f t="shared" si="80"/>
        <v>0</v>
      </c>
      <c r="CS74" s="25">
        <f t="shared" si="80"/>
        <v>0</v>
      </c>
      <c r="CT74" s="25">
        <f t="shared" si="80"/>
        <v>5000000</v>
      </c>
      <c r="CU74" s="25"/>
      <c r="CV74" s="25"/>
      <c r="CW74" s="25"/>
      <c r="CX74" s="25"/>
      <c r="CY74" s="25"/>
      <c r="CZ74" s="25">
        <f t="shared" si="82"/>
        <v>0</v>
      </c>
      <c r="DA74" s="25">
        <f t="shared" si="82"/>
        <v>0</v>
      </c>
      <c r="DB74" s="25">
        <f t="shared" si="82"/>
        <v>0</v>
      </c>
      <c r="DC74" s="25">
        <f t="shared" si="92"/>
        <v>0</v>
      </c>
      <c r="DD74" s="25">
        <f t="shared" si="92"/>
        <v>0</v>
      </c>
      <c r="DE74" s="25">
        <f t="shared" si="92"/>
        <v>0</v>
      </c>
      <c r="DF74" s="25"/>
      <c r="DG74" s="25"/>
      <c r="DH74" s="56"/>
      <c r="DI74" s="25">
        <f t="shared" si="93"/>
        <v>0</v>
      </c>
      <c r="DK74" s="78"/>
      <c r="DL74" s="78"/>
      <c r="DM74" s="276">
        <f t="shared" si="44"/>
        <v>5000000</v>
      </c>
      <c r="DN74" s="277">
        <f t="shared" si="45"/>
        <v>0</v>
      </c>
      <c r="DO74" s="278">
        <f t="shared" si="69"/>
        <v>0</v>
      </c>
    </row>
    <row r="75" spans="1:119" ht="22.5" hidden="1" customHeight="1" x14ac:dyDescent="0.25">
      <c r="A75" s="184"/>
      <c r="B75" s="198"/>
      <c r="C75" s="21" t="s">
        <v>221</v>
      </c>
      <c r="D75" s="22" t="s">
        <v>222</v>
      </c>
      <c r="E75" s="23">
        <v>520</v>
      </c>
      <c r="F75" s="24" t="s">
        <v>91</v>
      </c>
      <c r="G75" s="25">
        <f t="shared" si="70"/>
        <v>5000000</v>
      </c>
      <c r="H75" s="36"/>
      <c r="I75" s="25"/>
      <c r="J75" s="25"/>
      <c r="K75" s="25">
        <v>5000000</v>
      </c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59"/>
      <c r="AB75" s="27">
        <f t="shared" si="85"/>
        <v>0</v>
      </c>
      <c r="AC75" s="25">
        <f t="shared" si="71"/>
        <v>0</v>
      </c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7">
        <f t="shared" si="86"/>
        <v>1</v>
      </c>
      <c r="AY75" s="25">
        <f t="shared" si="72"/>
        <v>5000000</v>
      </c>
      <c r="AZ75" s="25">
        <f t="shared" si="73"/>
        <v>0</v>
      </c>
      <c r="BA75" s="25">
        <f t="shared" si="73"/>
        <v>0</v>
      </c>
      <c r="BB75" s="25">
        <f t="shared" si="73"/>
        <v>0</v>
      </c>
      <c r="BC75" s="25">
        <f t="shared" si="89"/>
        <v>5000000</v>
      </c>
      <c r="BD75" s="25"/>
      <c r="BE75" s="25"/>
      <c r="BF75" s="25"/>
      <c r="BG75" s="25"/>
      <c r="BH75" s="25"/>
      <c r="BI75" s="25">
        <f t="shared" si="89"/>
        <v>0</v>
      </c>
      <c r="BJ75" s="25">
        <f t="shared" si="89"/>
        <v>0</v>
      </c>
      <c r="BK75" s="25">
        <f t="shared" si="89"/>
        <v>0</v>
      </c>
      <c r="BL75" s="25"/>
      <c r="BM75" s="25">
        <f t="shared" si="89"/>
        <v>0</v>
      </c>
      <c r="BN75" s="25">
        <f t="shared" si="89"/>
        <v>0</v>
      </c>
      <c r="BO75" s="25"/>
      <c r="BP75" s="25"/>
      <c r="BQ75" s="25">
        <f t="shared" si="75"/>
        <v>0</v>
      </c>
      <c r="BR75" s="25">
        <f t="shared" si="90"/>
        <v>0</v>
      </c>
      <c r="BS75" s="27">
        <f t="shared" si="87"/>
        <v>0</v>
      </c>
      <c r="BT75" s="25">
        <f t="shared" si="77"/>
        <v>0</v>
      </c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7">
        <f t="shared" si="78"/>
        <v>1</v>
      </c>
      <c r="CP75" s="25">
        <f t="shared" si="79"/>
        <v>5000000</v>
      </c>
      <c r="CQ75" s="25">
        <f t="shared" ref="CQ75:CV90" si="94">H75-BV75</f>
        <v>0</v>
      </c>
      <c r="CR75" s="25">
        <f t="shared" si="94"/>
        <v>0</v>
      </c>
      <c r="CS75" s="25">
        <f t="shared" si="94"/>
        <v>0</v>
      </c>
      <c r="CT75" s="25">
        <f t="shared" si="94"/>
        <v>5000000</v>
      </c>
      <c r="CU75" s="25"/>
      <c r="CV75" s="25"/>
      <c r="CW75" s="25"/>
      <c r="CX75" s="25"/>
      <c r="CY75" s="25"/>
      <c r="CZ75" s="25">
        <f t="shared" si="82"/>
        <v>0</v>
      </c>
      <c r="DA75" s="25">
        <f t="shared" si="82"/>
        <v>0</v>
      </c>
      <c r="DB75" s="25">
        <f t="shared" si="82"/>
        <v>0</v>
      </c>
      <c r="DC75" s="25">
        <f t="shared" si="92"/>
        <v>0</v>
      </c>
      <c r="DD75" s="25">
        <f t="shared" si="92"/>
        <v>0</v>
      </c>
      <c r="DE75" s="25">
        <f t="shared" si="92"/>
        <v>0</v>
      </c>
      <c r="DF75" s="25"/>
      <c r="DG75" s="25"/>
      <c r="DH75" s="56"/>
      <c r="DI75" s="25">
        <f t="shared" si="93"/>
        <v>0</v>
      </c>
      <c r="DK75" s="78"/>
      <c r="DL75" s="78"/>
      <c r="DM75" s="276">
        <f t="shared" si="44"/>
        <v>5000000</v>
      </c>
      <c r="DN75" s="277">
        <f t="shared" si="45"/>
        <v>0</v>
      </c>
      <c r="DO75" s="278">
        <f t="shared" si="69"/>
        <v>0</v>
      </c>
    </row>
    <row r="76" spans="1:119" ht="21" hidden="1" customHeight="1" x14ac:dyDescent="0.25">
      <c r="A76" s="184"/>
      <c r="B76" s="198"/>
      <c r="C76" s="21" t="s">
        <v>223</v>
      </c>
      <c r="D76" s="22" t="s">
        <v>224</v>
      </c>
      <c r="E76" s="23">
        <v>520</v>
      </c>
      <c r="F76" s="24" t="s">
        <v>91</v>
      </c>
      <c r="G76" s="25">
        <f t="shared" si="70"/>
        <v>15000000</v>
      </c>
      <c r="H76" s="36"/>
      <c r="I76" s="25"/>
      <c r="J76" s="25"/>
      <c r="K76" s="25">
        <f>5000000+10000000</f>
        <v>15000000</v>
      </c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59"/>
      <c r="AB76" s="27">
        <f t="shared" si="85"/>
        <v>0.92977500000000002</v>
      </c>
      <c r="AC76" s="25">
        <f t="shared" si="71"/>
        <v>13946625</v>
      </c>
      <c r="AD76" s="25"/>
      <c r="AE76" s="25"/>
      <c r="AF76" s="25"/>
      <c r="AG76" s="25"/>
      <c r="AH76" s="25">
        <f>+'[3]ABRIL 2016'!$G$1562</f>
        <v>13946625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7">
        <f t="shared" si="86"/>
        <v>7.0224999999999982E-2</v>
      </c>
      <c r="AY76" s="25">
        <f t="shared" si="72"/>
        <v>1053375</v>
      </c>
      <c r="AZ76" s="25">
        <f t="shared" si="73"/>
        <v>0</v>
      </c>
      <c r="BA76" s="25">
        <f t="shared" si="73"/>
        <v>0</v>
      </c>
      <c r="BB76" s="25">
        <f t="shared" si="73"/>
        <v>0</v>
      </c>
      <c r="BC76" s="25">
        <f t="shared" si="89"/>
        <v>1053375</v>
      </c>
      <c r="BD76" s="25"/>
      <c r="BE76" s="25"/>
      <c r="BF76" s="25"/>
      <c r="BG76" s="25"/>
      <c r="BH76" s="25"/>
      <c r="BI76" s="25">
        <f t="shared" si="89"/>
        <v>0</v>
      </c>
      <c r="BJ76" s="25">
        <f t="shared" si="89"/>
        <v>0</v>
      </c>
      <c r="BK76" s="25">
        <f t="shared" si="89"/>
        <v>0</v>
      </c>
      <c r="BL76" s="25">
        <f t="shared" si="89"/>
        <v>0</v>
      </c>
      <c r="BM76" s="25">
        <f t="shared" si="89"/>
        <v>0</v>
      </c>
      <c r="BN76" s="25">
        <f t="shared" si="89"/>
        <v>0</v>
      </c>
      <c r="BO76" s="25"/>
      <c r="BP76" s="25"/>
      <c r="BQ76" s="25">
        <f t="shared" si="75"/>
        <v>0</v>
      </c>
      <c r="BR76" s="25">
        <f t="shared" si="90"/>
        <v>0</v>
      </c>
      <c r="BS76" s="27">
        <f t="shared" si="87"/>
        <v>0.92977500000000002</v>
      </c>
      <c r="BT76" s="25">
        <f t="shared" si="77"/>
        <v>13946625</v>
      </c>
      <c r="BU76" s="25"/>
      <c r="BV76" s="25"/>
      <c r="BW76" s="25"/>
      <c r="BX76" s="25"/>
      <c r="BY76" s="25">
        <v>13946625</v>
      </c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7">
        <f t="shared" si="78"/>
        <v>7.0224999999999982E-2</v>
      </c>
      <c r="CP76" s="25">
        <f t="shared" si="79"/>
        <v>1053375</v>
      </c>
      <c r="CQ76" s="25">
        <f t="shared" si="94"/>
        <v>0</v>
      </c>
      <c r="CR76" s="25">
        <f t="shared" si="94"/>
        <v>0</v>
      </c>
      <c r="CS76" s="25">
        <f t="shared" si="94"/>
        <v>0</v>
      </c>
      <c r="CT76" s="25">
        <f t="shared" si="94"/>
        <v>1053375</v>
      </c>
      <c r="CU76" s="25"/>
      <c r="CV76" s="25"/>
      <c r="CW76" s="25"/>
      <c r="CX76" s="25"/>
      <c r="CY76" s="25"/>
      <c r="CZ76" s="25">
        <f t="shared" si="82"/>
        <v>0</v>
      </c>
      <c r="DA76" s="25">
        <f t="shared" si="82"/>
        <v>0</v>
      </c>
      <c r="DB76" s="25">
        <f t="shared" si="82"/>
        <v>0</v>
      </c>
      <c r="DC76" s="25">
        <f t="shared" si="92"/>
        <v>0</v>
      </c>
      <c r="DD76" s="25">
        <f t="shared" si="92"/>
        <v>0</v>
      </c>
      <c r="DE76" s="25">
        <f t="shared" si="92"/>
        <v>0</v>
      </c>
      <c r="DF76" s="25"/>
      <c r="DG76" s="25"/>
      <c r="DH76" s="56"/>
      <c r="DI76" s="25">
        <f t="shared" si="93"/>
        <v>0</v>
      </c>
      <c r="DK76" s="78"/>
      <c r="DL76" s="78"/>
      <c r="DM76" s="276">
        <f t="shared" si="44"/>
        <v>15000000</v>
      </c>
      <c r="DN76" s="277">
        <f t="shared" si="45"/>
        <v>13946625</v>
      </c>
      <c r="DO76" s="278">
        <f t="shared" si="69"/>
        <v>0.92977500000000002</v>
      </c>
    </row>
    <row r="77" spans="1:119" ht="21.75" hidden="1" customHeight="1" x14ac:dyDescent="0.25">
      <c r="A77" s="184"/>
      <c r="B77" s="199"/>
      <c r="C77" s="21" t="s">
        <v>225</v>
      </c>
      <c r="D77" s="22" t="s">
        <v>226</v>
      </c>
      <c r="E77" s="23">
        <v>520</v>
      </c>
      <c r="F77" s="24" t="s">
        <v>91</v>
      </c>
      <c r="G77" s="25">
        <f t="shared" si="70"/>
        <v>5000000</v>
      </c>
      <c r="H77" s="36"/>
      <c r="I77" s="25"/>
      <c r="J77" s="25"/>
      <c r="K77" s="25">
        <v>5000000</v>
      </c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59"/>
      <c r="AB77" s="27">
        <f t="shared" si="85"/>
        <v>0.74168699999999999</v>
      </c>
      <c r="AC77" s="25">
        <f t="shared" si="71"/>
        <v>3708435</v>
      </c>
      <c r="AD77" s="25"/>
      <c r="AE77" s="25"/>
      <c r="AF77" s="25"/>
      <c r="AG77" s="25"/>
      <c r="AH77" s="25">
        <f>+'[1]AGOSTO 2016'!$O$2947</f>
        <v>3708435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7">
        <f t="shared" si="86"/>
        <v>0.25831300000000001</v>
      </c>
      <c r="AY77" s="25">
        <f t="shared" si="72"/>
        <v>1291565</v>
      </c>
      <c r="AZ77" s="25">
        <f t="shared" si="73"/>
        <v>0</v>
      </c>
      <c r="BA77" s="25">
        <f t="shared" si="73"/>
        <v>0</v>
      </c>
      <c r="BB77" s="25">
        <f t="shared" si="73"/>
        <v>0</v>
      </c>
      <c r="BC77" s="25">
        <f t="shared" si="89"/>
        <v>1291565</v>
      </c>
      <c r="BD77" s="25"/>
      <c r="BE77" s="25"/>
      <c r="BF77" s="25"/>
      <c r="BG77" s="25"/>
      <c r="BH77" s="25"/>
      <c r="BI77" s="25">
        <f t="shared" si="89"/>
        <v>0</v>
      </c>
      <c r="BJ77" s="25">
        <f t="shared" si="89"/>
        <v>0</v>
      </c>
      <c r="BK77" s="25">
        <f t="shared" si="89"/>
        <v>0</v>
      </c>
      <c r="BL77" s="25">
        <f t="shared" si="89"/>
        <v>0</v>
      </c>
      <c r="BM77" s="25">
        <f t="shared" si="89"/>
        <v>0</v>
      </c>
      <c r="BN77" s="25">
        <f t="shared" si="89"/>
        <v>0</v>
      </c>
      <c r="BO77" s="25"/>
      <c r="BP77" s="25"/>
      <c r="BQ77" s="25">
        <f t="shared" si="75"/>
        <v>0</v>
      </c>
      <c r="BR77" s="25">
        <f t="shared" si="90"/>
        <v>0</v>
      </c>
      <c r="BS77" s="27">
        <f t="shared" si="87"/>
        <v>0.74168699999999999</v>
      </c>
      <c r="BT77" s="25">
        <f t="shared" si="77"/>
        <v>3708435</v>
      </c>
      <c r="BU77" s="25"/>
      <c r="BV77" s="25"/>
      <c r="BW77" s="25"/>
      <c r="BX77" s="25"/>
      <c r="BY77" s="25">
        <f>+'[1]AGOSTO 2016'!$H$2945</f>
        <v>3708435</v>
      </c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7">
        <f t="shared" si="78"/>
        <v>0.25831300000000001</v>
      </c>
      <c r="CP77" s="25">
        <f t="shared" si="79"/>
        <v>1291565</v>
      </c>
      <c r="CQ77" s="25">
        <f t="shared" si="94"/>
        <v>0</v>
      </c>
      <c r="CR77" s="25">
        <f t="shared" si="94"/>
        <v>0</v>
      </c>
      <c r="CS77" s="25">
        <f t="shared" si="94"/>
        <v>0</v>
      </c>
      <c r="CT77" s="25">
        <f t="shared" si="94"/>
        <v>1291565</v>
      </c>
      <c r="CU77" s="25"/>
      <c r="CV77" s="25"/>
      <c r="CW77" s="25"/>
      <c r="CX77" s="25"/>
      <c r="CY77" s="25"/>
      <c r="CZ77" s="25">
        <f t="shared" si="82"/>
        <v>0</v>
      </c>
      <c r="DA77" s="25">
        <f t="shared" si="82"/>
        <v>0</v>
      </c>
      <c r="DB77" s="25">
        <f t="shared" si="82"/>
        <v>0</v>
      </c>
      <c r="DC77" s="25">
        <f t="shared" si="92"/>
        <v>0</v>
      </c>
      <c r="DD77" s="25">
        <f t="shared" si="92"/>
        <v>0</v>
      </c>
      <c r="DE77" s="25">
        <f t="shared" si="92"/>
        <v>0</v>
      </c>
      <c r="DF77" s="25"/>
      <c r="DG77" s="25"/>
      <c r="DH77" s="56"/>
      <c r="DI77" s="25">
        <f t="shared" si="93"/>
        <v>0</v>
      </c>
      <c r="DK77" s="78"/>
      <c r="DL77" s="78"/>
      <c r="DM77" s="276">
        <f t="shared" si="44"/>
        <v>5000000</v>
      </c>
      <c r="DN77" s="277">
        <f t="shared" si="45"/>
        <v>3708435</v>
      </c>
      <c r="DO77" s="278">
        <f t="shared" si="69"/>
        <v>0.74168699999999999</v>
      </c>
    </row>
    <row r="78" spans="1:119" ht="34.5" hidden="1" customHeight="1" x14ac:dyDescent="0.25">
      <c r="A78" s="184"/>
      <c r="B78" s="186" t="s">
        <v>227</v>
      </c>
      <c r="C78" s="21" t="s">
        <v>228</v>
      </c>
      <c r="D78" s="22" t="s">
        <v>229</v>
      </c>
      <c r="E78" s="23">
        <v>520</v>
      </c>
      <c r="F78" s="24" t="s">
        <v>91</v>
      </c>
      <c r="G78" s="25">
        <f t="shared" si="70"/>
        <v>10000000</v>
      </c>
      <c r="H78" s="36"/>
      <c r="I78" s="25"/>
      <c r="J78" s="25"/>
      <c r="K78" s="25">
        <v>10000000</v>
      </c>
      <c r="L78" s="25"/>
      <c r="M78" s="25"/>
      <c r="N78" s="25"/>
      <c r="O78" s="25"/>
      <c r="P78" s="25"/>
      <c r="Q78" s="25"/>
      <c r="R78" s="25"/>
      <c r="S78" s="49"/>
      <c r="T78" s="25"/>
      <c r="U78" s="25"/>
      <c r="V78" s="25"/>
      <c r="W78" s="25"/>
      <c r="X78" s="25"/>
      <c r="Y78" s="25"/>
      <c r="Z78" s="25"/>
      <c r="AA78" s="59"/>
      <c r="AB78" s="27">
        <f t="shared" si="85"/>
        <v>1</v>
      </c>
      <c r="AC78" s="25">
        <f t="shared" si="71"/>
        <v>10000000</v>
      </c>
      <c r="AD78" s="25"/>
      <c r="AE78" s="25"/>
      <c r="AF78" s="25"/>
      <c r="AG78" s="25"/>
      <c r="AH78" s="25">
        <f>+'[6]JULIO 2016'!$O$2299</f>
        <v>10000000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7">
        <f t="shared" si="86"/>
        <v>0</v>
      </c>
      <c r="AY78" s="25">
        <f t="shared" si="72"/>
        <v>0</v>
      </c>
      <c r="AZ78" s="25">
        <f t="shared" si="73"/>
        <v>0</v>
      </c>
      <c r="BA78" s="25">
        <f t="shared" si="73"/>
        <v>0</v>
      </c>
      <c r="BB78" s="25">
        <f t="shared" si="73"/>
        <v>0</v>
      </c>
      <c r="BC78" s="25">
        <f t="shared" si="89"/>
        <v>0</v>
      </c>
      <c r="BD78" s="25">
        <f t="shared" si="89"/>
        <v>0</v>
      </c>
      <c r="BE78" s="25">
        <f t="shared" si="89"/>
        <v>0</v>
      </c>
      <c r="BF78" s="25">
        <f t="shared" si="89"/>
        <v>0</v>
      </c>
      <c r="BG78" s="25">
        <f t="shared" si="89"/>
        <v>0</v>
      </c>
      <c r="BH78" s="25">
        <f t="shared" si="89"/>
        <v>0</v>
      </c>
      <c r="BI78" s="25">
        <f t="shared" si="89"/>
        <v>0</v>
      </c>
      <c r="BJ78" s="25">
        <f t="shared" si="89"/>
        <v>0</v>
      </c>
      <c r="BK78" s="25">
        <f t="shared" si="89"/>
        <v>0</v>
      </c>
      <c r="BL78" s="25">
        <f t="shared" si="89"/>
        <v>0</v>
      </c>
      <c r="BM78" s="25">
        <f t="shared" si="89"/>
        <v>0</v>
      </c>
      <c r="BN78" s="25">
        <f t="shared" si="89"/>
        <v>0</v>
      </c>
      <c r="BO78" s="25"/>
      <c r="BP78" s="25"/>
      <c r="BQ78" s="25">
        <f t="shared" si="75"/>
        <v>0</v>
      </c>
      <c r="BR78" s="25">
        <f t="shared" si="90"/>
        <v>0</v>
      </c>
      <c r="BS78" s="27">
        <f t="shared" si="87"/>
        <v>1</v>
      </c>
      <c r="BT78" s="25">
        <f t="shared" si="77"/>
        <v>10000000</v>
      </c>
      <c r="BU78" s="25"/>
      <c r="BV78" s="25"/>
      <c r="BW78" s="25"/>
      <c r="BX78" s="25"/>
      <c r="BY78" s="25">
        <f>+'[6]JULIO 2016'!$H$2297</f>
        <v>10000000</v>
      </c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7">
        <f t="shared" si="78"/>
        <v>0</v>
      </c>
      <c r="CP78" s="25">
        <f t="shared" si="79"/>
        <v>0</v>
      </c>
      <c r="CQ78" s="25">
        <f t="shared" si="94"/>
        <v>0</v>
      </c>
      <c r="CR78" s="25">
        <f t="shared" si="94"/>
        <v>0</v>
      </c>
      <c r="CS78" s="25">
        <f t="shared" si="94"/>
        <v>0</v>
      </c>
      <c r="CT78" s="25">
        <f t="shared" si="94"/>
        <v>0</v>
      </c>
      <c r="CU78" s="25">
        <f t="shared" si="94"/>
        <v>0</v>
      </c>
      <c r="CV78" s="25">
        <f t="shared" si="94"/>
        <v>0</v>
      </c>
      <c r="CW78" s="25">
        <f t="shared" ref="CW78:CY82" si="95">+N78-CB78</f>
        <v>0</v>
      </c>
      <c r="CX78" s="25">
        <f t="shared" si="95"/>
        <v>0</v>
      </c>
      <c r="CY78" s="25">
        <f t="shared" si="95"/>
        <v>0</v>
      </c>
      <c r="CZ78" s="25">
        <f t="shared" si="82"/>
        <v>0</v>
      </c>
      <c r="DA78" s="25">
        <f t="shared" si="82"/>
        <v>0</v>
      </c>
      <c r="DB78" s="25">
        <f t="shared" si="82"/>
        <v>0</v>
      </c>
      <c r="DC78" s="25">
        <f t="shared" si="92"/>
        <v>0</v>
      </c>
      <c r="DD78" s="25">
        <f t="shared" si="92"/>
        <v>0</v>
      </c>
      <c r="DE78" s="25">
        <f t="shared" si="92"/>
        <v>0</v>
      </c>
      <c r="DF78" s="25"/>
      <c r="DG78" s="25">
        <f t="shared" ref="DG78:DH82" si="96">+X78-CL78</f>
        <v>0</v>
      </c>
      <c r="DH78" s="56">
        <f t="shared" si="96"/>
        <v>0</v>
      </c>
      <c r="DI78" s="25">
        <f t="shared" si="93"/>
        <v>0</v>
      </c>
      <c r="DK78" s="78"/>
      <c r="DL78" s="78"/>
      <c r="DM78" s="276">
        <f t="shared" si="44"/>
        <v>10000000</v>
      </c>
      <c r="DN78" s="277">
        <f t="shared" si="45"/>
        <v>10000000</v>
      </c>
      <c r="DO78" s="278">
        <f t="shared" si="69"/>
        <v>1</v>
      </c>
    </row>
    <row r="79" spans="1:119" ht="30.75" hidden="1" customHeight="1" x14ac:dyDescent="0.25">
      <c r="A79" s="184"/>
      <c r="B79" s="188"/>
      <c r="C79" s="21" t="s">
        <v>230</v>
      </c>
      <c r="D79" s="22" t="s">
        <v>231</v>
      </c>
      <c r="E79" s="23">
        <v>520</v>
      </c>
      <c r="F79" s="24" t="s">
        <v>91</v>
      </c>
      <c r="G79" s="25">
        <f>SUM(H79:Z79)</f>
        <v>10000000</v>
      </c>
      <c r="H79" s="36"/>
      <c r="I79" s="36"/>
      <c r="J79" s="36"/>
      <c r="K79" s="25">
        <v>10000000</v>
      </c>
      <c r="L79" s="36"/>
      <c r="M79" s="36"/>
      <c r="N79" s="36"/>
      <c r="O79" s="36"/>
      <c r="P79" s="36"/>
      <c r="Q79" s="30"/>
      <c r="R79" s="36"/>
      <c r="S79" s="49"/>
      <c r="T79" s="36"/>
      <c r="U79" s="36"/>
      <c r="V79" s="36"/>
      <c r="W79" s="36"/>
      <c r="X79" s="36"/>
      <c r="Y79" s="36"/>
      <c r="Z79" s="66"/>
      <c r="AA79" s="59"/>
      <c r="AB79" s="27">
        <f t="shared" si="85"/>
        <v>1</v>
      </c>
      <c r="AC79" s="25">
        <f t="shared" si="71"/>
        <v>10000000</v>
      </c>
      <c r="AD79" s="25"/>
      <c r="AE79" s="25"/>
      <c r="AF79" s="25"/>
      <c r="AG79" s="25"/>
      <c r="AH79" s="25">
        <f>+'[6]JULIO 2016'!$O$2306</f>
        <v>10000000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7">
        <f t="shared" si="86"/>
        <v>0</v>
      </c>
      <c r="AY79" s="25">
        <f t="shared" si="72"/>
        <v>0</v>
      </c>
      <c r="AZ79" s="25">
        <f t="shared" si="73"/>
        <v>0</v>
      </c>
      <c r="BA79" s="25">
        <f t="shared" si="73"/>
        <v>0</v>
      </c>
      <c r="BB79" s="25">
        <f t="shared" si="73"/>
        <v>0</v>
      </c>
      <c r="BC79" s="25">
        <f t="shared" si="89"/>
        <v>0</v>
      </c>
      <c r="BD79" s="25">
        <f t="shared" si="89"/>
        <v>0</v>
      </c>
      <c r="BE79" s="25">
        <f t="shared" si="89"/>
        <v>0</v>
      </c>
      <c r="BF79" s="25">
        <f t="shared" si="89"/>
        <v>0</v>
      </c>
      <c r="BG79" s="25">
        <f t="shared" si="89"/>
        <v>0</v>
      </c>
      <c r="BH79" s="25">
        <f t="shared" si="89"/>
        <v>0</v>
      </c>
      <c r="BI79" s="25">
        <f t="shared" si="89"/>
        <v>0</v>
      </c>
      <c r="BJ79" s="25">
        <f t="shared" si="89"/>
        <v>0</v>
      </c>
      <c r="BK79" s="25">
        <f t="shared" si="89"/>
        <v>0</v>
      </c>
      <c r="BL79" s="25">
        <f t="shared" si="89"/>
        <v>0</v>
      </c>
      <c r="BM79" s="25">
        <f t="shared" si="89"/>
        <v>0</v>
      </c>
      <c r="BN79" s="25">
        <f t="shared" si="89"/>
        <v>0</v>
      </c>
      <c r="BO79" s="25"/>
      <c r="BP79" s="25"/>
      <c r="BQ79" s="25">
        <f t="shared" si="75"/>
        <v>0</v>
      </c>
      <c r="BR79" s="25">
        <f t="shared" si="90"/>
        <v>0</v>
      </c>
      <c r="BS79" s="27">
        <f t="shared" si="87"/>
        <v>0</v>
      </c>
      <c r="BT79" s="25">
        <f t="shared" si="77"/>
        <v>0</v>
      </c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7">
        <f t="shared" si="78"/>
        <v>1</v>
      </c>
      <c r="CP79" s="25">
        <f t="shared" si="79"/>
        <v>10000000</v>
      </c>
      <c r="CQ79" s="25">
        <f t="shared" si="94"/>
        <v>0</v>
      </c>
      <c r="CR79" s="25">
        <f t="shared" si="94"/>
        <v>0</v>
      </c>
      <c r="CS79" s="25">
        <f t="shared" si="94"/>
        <v>0</v>
      </c>
      <c r="CT79" s="25">
        <f t="shared" si="94"/>
        <v>10000000</v>
      </c>
      <c r="CU79" s="25">
        <f t="shared" si="94"/>
        <v>0</v>
      </c>
      <c r="CV79" s="25">
        <f t="shared" si="94"/>
        <v>0</v>
      </c>
      <c r="CW79" s="25">
        <f t="shared" si="95"/>
        <v>0</v>
      </c>
      <c r="CX79" s="25">
        <f t="shared" si="95"/>
        <v>0</v>
      </c>
      <c r="CY79" s="25">
        <f t="shared" si="95"/>
        <v>0</v>
      </c>
      <c r="CZ79" s="25">
        <f t="shared" si="82"/>
        <v>0</v>
      </c>
      <c r="DA79" s="25">
        <f t="shared" si="82"/>
        <v>0</v>
      </c>
      <c r="DB79" s="25">
        <f t="shared" si="82"/>
        <v>0</v>
      </c>
      <c r="DC79" s="25">
        <f t="shared" si="92"/>
        <v>0</v>
      </c>
      <c r="DD79" s="25">
        <f t="shared" si="92"/>
        <v>0</v>
      </c>
      <c r="DE79" s="25">
        <f t="shared" si="92"/>
        <v>0</v>
      </c>
      <c r="DF79" s="25"/>
      <c r="DG79" s="25">
        <f t="shared" si="96"/>
        <v>0</v>
      </c>
      <c r="DH79" s="56">
        <f t="shared" si="96"/>
        <v>0</v>
      </c>
      <c r="DI79" s="25">
        <f t="shared" si="93"/>
        <v>0</v>
      </c>
      <c r="DK79" s="78"/>
      <c r="DL79" s="78"/>
      <c r="DM79" s="276">
        <f t="shared" si="44"/>
        <v>10000000</v>
      </c>
      <c r="DN79" s="277">
        <f t="shared" si="45"/>
        <v>0</v>
      </c>
      <c r="DO79" s="278">
        <f t="shared" si="69"/>
        <v>0</v>
      </c>
    </row>
    <row r="80" spans="1:119" ht="35.25" hidden="1" customHeight="1" x14ac:dyDescent="0.25">
      <c r="A80" s="184"/>
      <c r="B80" s="186" t="s">
        <v>232</v>
      </c>
      <c r="C80" s="21" t="s">
        <v>233</v>
      </c>
      <c r="D80" s="67" t="s">
        <v>234</v>
      </c>
      <c r="E80" s="23">
        <v>520</v>
      </c>
      <c r="F80" s="68" t="s">
        <v>91</v>
      </c>
      <c r="G80" s="25">
        <f t="shared" si="70"/>
        <v>15000000</v>
      </c>
      <c r="H80" s="36"/>
      <c r="I80" s="36"/>
      <c r="J80" s="36"/>
      <c r="K80" s="49">
        <v>10000000</v>
      </c>
      <c r="L80" s="36"/>
      <c r="M80" s="36"/>
      <c r="N80" s="36"/>
      <c r="O80" s="36"/>
      <c r="P80" s="36"/>
      <c r="Q80" s="30"/>
      <c r="R80" s="36"/>
      <c r="S80" s="49">
        <f>25000000-20000000</f>
        <v>5000000</v>
      </c>
      <c r="T80" s="36"/>
      <c r="U80" s="36"/>
      <c r="V80" s="36"/>
      <c r="W80" s="36"/>
      <c r="X80" s="36"/>
      <c r="Y80" s="36"/>
      <c r="Z80" s="66"/>
      <c r="AA80" s="59"/>
      <c r="AB80" s="27">
        <f t="shared" si="85"/>
        <v>0.97333333333333338</v>
      </c>
      <c r="AC80" s="25">
        <f t="shared" si="71"/>
        <v>14600000</v>
      </c>
      <c r="AD80" s="25"/>
      <c r="AE80" s="25"/>
      <c r="AF80" s="25"/>
      <c r="AG80" s="25"/>
      <c r="AH80" s="25">
        <f>+'[4]ENERO 2016'!$O$816</f>
        <v>10000000</v>
      </c>
      <c r="AI80" s="25"/>
      <c r="AJ80" s="25"/>
      <c r="AK80" s="25"/>
      <c r="AL80" s="25"/>
      <c r="AM80" s="25"/>
      <c r="AN80" s="25"/>
      <c r="AO80" s="25"/>
      <c r="AP80" s="25">
        <f>+'[1]AGOSTO 2016'!$W$2973</f>
        <v>4600000</v>
      </c>
      <c r="AQ80" s="25"/>
      <c r="AR80" s="25"/>
      <c r="AS80" s="25"/>
      <c r="AT80" s="25"/>
      <c r="AU80" s="25"/>
      <c r="AV80" s="25"/>
      <c r="AW80" s="25"/>
      <c r="AX80" s="27">
        <f t="shared" si="86"/>
        <v>2.6666666666666616E-2</v>
      </c>
      <c r="AY80" s="25">
        <f t="shared" si="72"/>
        <v>400000</v>
      </c>
      <c r="AZ80" s="25">
        <f t="shared" si="73"/>
        <v>0</v>
      </c>
      <c r="BA80" s="25">
        <f t="shared" si="73"/>
        <v>0</v>
      </c>
      <c r="BB80" s="25">
        <f t="shared" si="73"/>
        <v>0</v>
      </c>
      <c r="BC80" s="25">
        <f t="shared" si="89"/>
        <v>0</v>
      </c>
      <c r="BD80" s="25">
        <f t="shared" si="89"/>
        <v>0</v>
      </c>
      <c r="BE80" s="25">
        <f t="shared" si="89"/>
        <v>0</v>
      </c>
      <c r="BF80" s="25">
        <f t="shared" si="89"/>
        <v>0</v>
      </c>
      <c r="BG80" s="25">
        <f t="shared" si="89"/>
        <v>0</v>
      </c>
      <c r="BH80" s="25">
        <f t="shared" si="89"/>
        <v>0</v>
      </c>
      <c r="BI80" s="25">
        <f t="shared" si="89"/>
        <v>0</v>
      </c>
      <c r="BJ80" s="25">
        <f t="shared" si="89"/>
        <v>0</v>
      </c>
      <c r="BK80" s="25">
        <f t="shared" si="89"/>
        <v>400000</v>
      </c>
      <c r="BL80" s="25">
        <f t="shared" si="89"/>
        <v>0</v>
      </c>
      <c r="BM80" s="25">
        <f t="shared" si="89"/>
        <v>0</v>
      </c>
      <c r="BN80" s="25">
        <f t="shared" si="89"/>
        <v>0</v>
      </c>
      <c r="BO80" s="25"/>
      <c r="BP80" s="25"/>
      <c r="BQ80" s="25">
        <f t="shared" si="75"/>
        <v>0</v>
      </c>
      <c r="BR80" s="25">
        <f t="shared" si="90"/>
        <v>0</v>
      </c>
      <c r="BS80" s="27">
        <f t="shared" si="87"/>
        <v>0.97333333333333338</v>
      </c>
      <c r="BT80" s="25">
        <f t="shared" si="77"/>
        <v>14600000</v>
      </c>
      <c r="BU80" s="25"/>
      <c r="BV80" s="25"/>
      <c r="BW80" s="25"/>
      <c r="BX80" s="25"/>
      <c r="BY80" s="25">
        <v>10000000</v>
      </c>
      <c r="BZ80" s="25"/>
      <c r="CA80" s="25"/>
      <c r="CB80" s="25"/>
      <c r="CC80" s="25"/>
      <c r="CD80" s="25"/>
      <c r="CE80" s="25"/>
      <c r="CF80" s="25"/>
      <c r="CG80" s="25">
        <f>+'[1]AGOSTO 2016'!$W$2973</f>
        <v>4600000</v>
      </c>
      <c r="CH80" s="25"/>
      <c r="CI80" s="25"/>
      <c r="CJ80" s="25"/>
      <c r="CK80" s="25"/>
      <c r="CL80" s="25"/>
      <c r="CM80" s="25"/>
      <c r="CN80" s="25"/>
      <c r="CO80" s="27">
        <f t="shared" si="78"/>
        <v>2.6666666666666616E-2</v>
      </c>
      <c r="CP80" s="25">
        <f t="shared" si="79"/>
        <v>400000</v>
      </c>
      <c r="CQ80" s="25">
        <f t="shared" si="94"/>
        <v>0</v>
      </c>
      <c r="CR80" s="25">
        <f t="shared" si="94"/>
        <v>0</v>
      </c>
      <c r="CS80" s="25">
        <f t="shared" si="94"/>
        <v>0</v>
      </c>
      <c r="CT80" s="25">
        <f t="shared" si="94"/>
        <v>0</v>
      </c>
      <c r="CU80" s="25">
        <f t="shared" si="94"/>
        <v>0</v>
      </c>
      <c r="CV80" s="25">
        <f t="shared" si="94"/>
        <v>0</v>
      </c>
      <c r="CW80" s="25">
        <f t="shared" si="95"/>
        <v>0</v>
      </c>
      <c r="CX80" s="25">
        <f t="shared" si="95"/>
        <v>0</v>
      </c>
      <c r="CY80" s="25">
        <f t="shared" si="95"/>
        <v>0</v>
      </c>
      <c r="CZ80" s="25">
        <f t="shared" si="82"/>
        <v>0</v>
      </c>
      <c r="DA80" s="25">
        <f t="shared" si="82"/>
        <v>0</v>
      </c>
      <c r="DB80" s="25">
        <f t="shared" si="82"/>
        <v>400000</v>
      </c>
      <c r="DC80" s="25">
        <f t="shared" si="92"/>
        <v>0</v>
      </c>
      <c r="DD80" s="25">
        <f t="shared" si="92"/>
        <v>0</v>
      </c>
      <c r="DE80" s="25">
        <f t="shared" si="92"/>
        <v>0</v>
      </c>
      <c r="DF80" s="25"/>
      <c r="DG80" s="25">
        <f t="shared" si="96"/>
        <v>0</v>
      </c>
      <c r="DH80" s="56">
        <f t="shared" si="96"/>
        <v>0</v>
      </c>
      <c r="DI80" s="25">
        <f t="shared" si="93"/>
        <v>0</v>
      </c>
      <c r="DK80" s="78"/>
      <c r="DL80" s="78"/>
      <c r="DM80" s="276">
        <f t="shared" si="44"/>
        <v>15000000</v>
      </c>
      <c r="DN80" s="277">
        <f t="shared" si="45"/>
        <v>14600000</v>
      </c>
      <c r="DO80" s="278">
        <f t="shared" si="69"/>
        <v>0.97333333333333338</v>
      </c>
    </row>
    <row r="81" spans="1:119" ht="30" hidden="1" x14ac:dyDescent="0.25">
      <c r="A81" s="184"/>
      <c r="B81" s="187"/>
      <c r="C81" s="21" t="s">
        <v>235</v>
      </c>
      <c r="D81" s="67" t="s">
        <v>236</v>
      </c>
      <c r="E81" s="23">
        <v>520</v>
      </c>
      <c r="F81" s="68" t="s">
        <v>91</v>
      </c>
      <c r="G81" s="25">
        <f t="shared" si="70"/>
        <v>20000000</v>
      </c>
      <c r="H81" s="36"/>
      <c r="I81" s="36"/>
      <c r="J81" s="36"/>
      <c r="K81" s="49">
        <v>10000000</v>
      </c>
      <c r="L81" s="36"/>
      <c r="M81" s="36"/>
      <c r="N81" s="36"/>
      <c r="O81" s="36"/>
      <c r="P81" s="36"/>
      <c r="Q81" s="30"/>
      <c r="R81" s="36"/>
      <c r="S81" s="49">
        <v>10000000</v>
      </c>
      <c r="T81" s="36"/>
      <c r="U81" s="36"/>
      <c r="V81" s="36"/>
      <c r="W81" s="36"/>
      <c r="X81" s="36"/>
      <c r="Y81" s="36"/>
      <c r="Z81" s="66"/>
      <c r="AA81" s="59"/>
      <c r="AB81" s="27">
        <f t="shared" si="85"/>
        <v>0.22963120000000001</v>
      </c>
      <c r="AC81" s="25">
        <f t="shared" si="71"/>
        <v>4592624</v>
      </c>
      <c r="AD81" s="25"/>
      <c r="AE81" s="25"/>
      <c r="AF81" s="25"/>
      <c r="AG81" s="25"/>
      <c r="AH81" s="25">
        <f>+'[6]JULIO 2016'!$O$2320</f>
        <v>4592624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7">
        <f t="shared" si="86"/>
        <v>0.77036879999999996</v>
      </c>
      <c r="AY81" s="25">
        <f t="shared" si="72"/>
        <v>15407376</v>
      </c>
      <c r="AZ81" s="25">
        <f t="shared" si="73"/>
        <v>0</v>
      </c>
      <c r="BA81" s="25">
        <f t="shared" si="73"/>
        <v>0</v>
      </c>
      <c r="BB81" s="25">
        <f t="shared" si="73"/>
        <v>0</v>
      </c>
      <c r="BC81" s="25">
        <f t="shared" si="89"/>
        <v>5407376</v>
      </c>
      <c r="BD81" s="25">
        <f t="shared" si="89"/>
        <v>0</v>
      </c>
      <c r="BE81" s="25">
        <f t="shared" si="89"/>
        <v>0</v>
      </c>
      <c r="BF81" s="25">
        <f t="shared" si="89"/>
        <v>0</v>
      </c>
      <c r="BG81" s="25">
        <f t="shared" si="89"/>
        <v>0</v>
      </c>
      <c r="BH81" s="25">
        <f t="shared" si="89"/>
        <v>0</v>
      </c>
      <c r="BI81" s="25">
        <f t="shared" si="89"/>
        <v>0</v>
      </c>
      <c r="BJ81" s="25">
        <f t="shared" si="89"/>
        <v>0</v>
      </c>
      <c r="BK81" s="25">
        <f t="shared" si="89"/>
        <v>10000000</v>
      </c>
      <c r="BL81" s="25">
        <f t="shared" si="89"/>
        <v>0</v>
      </c>
      <c r="BM81" s="25">
        <f t="shared" si="89"/>
        <v>0</v>
      </c>
      <c r="BN81" s="25">
        <f t="shared" si="89"/>
        <v>0</v>
      </c>
      <c r="BO81" s="25"/>
      <c r="BP81" s="25"/>
      <c r="BQ81" s="25">
        <f t="shared" si="75"/>
        <v>0</v>
      </c>
      <c r="BR81" s="25">
        <f t="shared" si="90"/>
        <v>0</v>
      </c>
      <c r="BS81" s="27">
        <f t="shared" si="87"/>
        <v>0.22963120000000001</v>
      </c>
      <c r="BT81" s="25">
        <f t="shared" si="77"/>
        <v>4592624</v>
      </c>
      <c r="BU81" s="25"/>
      <c r="BV81" s="25"/>
      <c r="BW81" s="25"/>
      <c r="BX81" s="25"/>
      <c r="BY81" s="25">
        <f>+'[1]AGOSTO 2016'!$H$2978</f>
        <v>4592624</v>
      </c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7">
        <f t="shared" si="78"/>
        <v>0.77036879999999996</v>
      </c>
      <c r="CP81" s="25">
        <f t="shared" si="79"/>
        <v>15407376</v>
      </c>
      <c r="CQ81" s="25">
        <f t="shared" si="94"/>
        <v>0</v>
      </c>
      <c r="CR81" s="25">
        <f t="shared" si="94"/>
        <v>0</v>
      </c>
      <c r="CS81" s="25">
        <f t="shared" si="94"/>
        <v>0</v>
      </c>
      <c r="CT81" s="25">
        <f t="shared" si="94"/>
        <v>5407376</v>
      </c>
      <c r="CU81" s="25">
        <f t="shared" si="94"/>
        <v>0</v>
      </c>
      <c r="CV81" s="25">
        <f t="shared" si="94"/>
        <v>0</v>
      </c>
      <c r="CW81" s="25">
        <f t="shared" si="95"/>
        <v>0</v>
      </c>
      <c r="CX81" s="25">
        <f t="shared" si="95"/>
        <v>0</v>
      </c>
      <c r="CY81" s="25">
        <f t="shared" si="95"/>
        <v>0</v>
      </c>
      <c r="CZ81" s="25">
        <f t="shared" si="82"/>
        <v>0</v>
      </c>
      <c r="DA81" s="25">
        <f t="shared" si="82"/>
        <v>0</v>
      </c>
      <c r="DB81" s="25">
        <f t="shared" si="82"/>
        <v>10000000</v>
      </c>
      <c r="DC81" s="25">
        <f t="shared" si="92"/>
        <v>0</v>
      </c>
      <c r="DD81" s="25">
        <f t="shared" si="92"/>
        <v>0</v>
      </c>
      <c r="DE81" s="25">
        <f t="shared" si="92"/>
        <v>0</v>
      </c>
      <c r="DF81" s="25"/>
      <c r="DG81" s="25">
        <f t="shared" si="96"/>
        <v>0</v>
      </c>
      <c r="DH81" s="56">
        <f t="shared" si="96"/>
        <v>0</v>
      </c>
      <c r="DI81" s="25">
        <f t="shared" si="93"/>
        <v>0</v>
      </c>
      <c r="DK81" s="78"/>
      <c r="DL81" s="78"/>
      <c r="DM81" s="276">
        <f t="shared" si="44"/>
        <v>20000000</v>
      </c>
      <c r="DN81" s="277">
        <f t="shared" si="45"/>
        <v>4592624</v>
      </c>
      <c r="DO81" s="278">
        <f t="shared" si="69"/>
        <v>0.22963120000000001</v>
      </c>
    </row>
    <row r="82" spans="1:119" ht="30.75" hidden="1" customHeight="1" x14ac:dyDescent="0.25">
      <c r="A82" s="184"/>
      <c r="B82" s="187"/>
      <c r="C82" s="21" t="s">
        <v>237</v>
      </c>
      <c r="D82" s="67" t="s">
        <v>238</v>
      </c>
      <c r="E82" s="23">
        <v>520</v>
      </c>
      <c r="F82" s="68" t="s">
        <v>91</v>
      </c>
      <c r="G82" s="25">
        <f t="shared" si="70"/>
        <v>5000000</v>
      </c>
      <c r="H82" s="36"/>
      <c r="I82" s="36"/>
      <c r="J82" s="36"/>
      <c r="K82" s="25">
        <v>1098558</v>
      </c>
      <c r="L82" s="36"/>
      <c r="M82" s="36"/>
      <c r="N82" s="36"/>
      <c r="O82" s="36"/>
      <c r="P82" s="36"/>
      <c r="Q82" s="30"/>
      <c r="R82" s="36"/>
      <c r="S82" s="49">
        <f>48901442-45000000</f>
        <v>3901442</v>
      </c>
      <c r="T82" s="36"/>
      <c r="U82" s="36"/>
      <c r="V82" s="36"/>
      <c r="W82" s="36"/>
      <c r="X82" s="36"/>
      <c r="Y82" s="36"/>
      <c r="Z82" s="66"/>
      <c r="AA82" s="59"/>
      <c r="AB82" s="27">
        <f t="shared" si="85"/>
        <v>0</v>
      </c>
      <c r="AC82" s="25">
        <f t="shared" si="71"/>
        <v>0</v>
      </c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7">
        <f t="shared" si="86"/>
        <v>1</v>
      </c>
      <c r="AY82" s="25">
        <f t="shared" si="72"/>
        <v>5000000</v>
      </c>
      <c r="AZ82" s="25">
        <f t="shared" si="73"/>
        <v>0</v>
      </c>
      <c r="BA82" s="25">
        <f t="shared" si="73"/>
        <v>0</v>
      </c>
      <c r="BB82" s="25">
        <f t="shared" si="73"/>
        <v>0</v>
      </c>
      <c r="BC82" s="25">
        <f t="shared" si="89"/>
        <v>1098558</v>
      </c>
      <c r="BD82" s="25">
        <f t="shared" si="89"/>
        <v>0</v>
      </c>
      <c r="BE82" s="25">
        <f t="shared" si="89"/>
        <v>0</v>
      </c>
      <c r="BF82" s="25">
        <f t="shared" si="89"/>
        <v>0</v>
      </c>
      <c r="BG82" s="25">
        <f t="shared" si="89"/>
        <v>0</v>
      </c>
      <c r="BH82" s="25">
        <f t="shared" si="89"/>
        <v>0</v>
      </c>
      <c r="BI82" s="25">
        <f t="shared" si="89"/>
        <v>0</v>
      </c>
      <c r="BJ82" s="25">
        <f t="shared" si="89"/>
        <v>0</v>
      </c>
      <c r="BK82" s="25">
        <f t="shared" si="89"/>
        <v>3901442</v>
      </c>
      <c r="BL82" s="25">
        <f t="shared" si="89"/>
        <v>0</v>
      </c>
      <c r="BM82" s="25">
        <f t="shared" si="89"/>
        <v>0</v>
      </c>
      <c r="BN82" s="25">
        <f t="shared" si="89"/>
        <v>0</v>
      </c>
      <c r="BO82" s="25"/>
      <c r="BP82" s="25"/>
      <c r="BQ82" s="25">
        <f t="shared" si="75"/>
        <v>0</v>
      </c>
      <c r="BR82" s="25">
        <f t="shared" si="90"/>
        <v>0</v>
      </c>
      <c r="BS82" s="27">
        <f t="shared" si="87"/>
        <v>0</v>
      </c>
      <c r="BT82" s="25">
        <f t="shared" si="77"/>
        <v>0</v>
      </c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7">
        <f t="shared" si="78"/>
        <v>1</v>
      </c>
      <c r="CP82" s="25">
        <f t="shared" si="79"/>
        <v>5000000</v>
      </c>
      <c r="CQ82" s="25">
        <f t="shared" si="94"/>
        <v>0</v>
      </c>
      <c r="CR82" s="25">
        <f t="shared" si="94"/>
        <v>0</v>
      </c>
      <c r="CS82" s="25">
        <f t="shared" si="94"/>
        <v>0</v>
      </c>
      <c r="CT82" s="25">
        <f t="shared" si="94"/>
        <v>1098558</v>
      </c>
      <c r="CU82" s="25">
        <f t="shared" si="94"/>
        <v>0</v>
      </c>
      <c r="CV82" s="25">
        <f t="shared" si="94"/>
        <v>0</v>
      </c>
      <c r="CW82" s="25">
        <f t="shared" si="95"/>
        <v>0</v>
      </c>
      <c r="CX82" s="25">
        <f t="shared" si="95"/>
        <v>0</v>
      </c>
      <c r="CY82" s="25">
        <f t="shared" si="95"/>
        <v>0</v>
      </c>
      <c r="CZ82" s="25">
        <f t="shared" si="82"/>
        <v>0</v>
      </c>
      <c r="DA82" s="25">
        <f t="shared" si="82"/>
        <v>0</v>
      </c>
      <c r="DB82" s="25">
        <f t="shared" si="82"/>
        <v>3901442</v>
      </c>
      <c r="DC82" s="25">
        <f t="shared" si="92"/>
        <v>0</v>
      </c>
      <c r="DD82" s="25">
        <f t="shared" si="92"/>
        <v>0</v>
      </c>
      <c r="DE82" s="25">
        <f t="shared" si="92"/>
        <v>0</v>
      </c>
      <c r="DF82" s="25"/>
      <c r="DG82" s="25">
        <f t="shared" si="96"/>
        <v>0</v>
      </c>
      <c r="DH82" s="56">
        <f t="shared" si="96"/>
        <v>0</v>
      </c>
      <c r="DI82" s="25">
        <f t="shared" si="93"/>
        <v>0</v>
      </c>
      <c r="DK82" s="78"/>
      <c r="DL82" s="78"/>
      <c r="DM82" s="276">
        <f t="shared" si="44"/>
        <v>5000000</v>
      </c>
      <c r="DN82" s="277">
        <f t="shared" si="45"/>
        <v>0</v>
      </c>
      <c r="DO82" s="278">
        <f t="shared" si="69"/>
        <v>0</v>
      </c>
    </row>
    <row r="83" spans="1:119" ht="21" hidden="1" customHeight="1" x14ac:dyDescent="0.25">
      <c r="A83" s="184"/>
      <c r="B83" s="188"/>
      <c r="C83" s="21" t="s">
        <v>239</v>
      </c>
      <c r="D83" s="67" t="s">
        <v>240</v>
      </c>
      <c r="E83" s="23">
        <v>520</v>
      </c>
      <c r="F83" s="68" t="s">
        <v>91</v>
      </c>
      <c r="G83" s="25">
        <f t="shared" si="70"/>
        <v>20000000</v>
      </c>
      <c r="H83" s="36"/>
      <c r="I83" s="36"/>
      <c r="J83" s="36"/>
      <c r="K83" s="25">
        <v>10000000</v>
      </c>
      <c r="L83" s="36"/>
      <c r="M83" s="36"/>
      <c r="N83" s="36"/>
      <c r="O83" s="36"/>
      <c r="P83" s="36"/>
      <c r="Q83" s="30"/>
      <c r="R83" s="36"/>
      <c r="S83" s="49">
        <v>10000000</v>
      </c>
      <c r="T83" s="36"/>
      <c r="U83" s="36"/>
      <c r="V83" s="36"/>
      <c r="W83" s="36"/>
      <c r="X83" s="36"/>
      <c r="Y83" s="36"/>
      <c r="Z83" s="66"/>
      <c r="AA83" s="59"/>
      <c r="AB83" s="27">
        <f t="shared" si="85"/>
        <v>0.72813795000000003</v>
      </c>
      <c r="AC83" s="25">
        <f t="shared" si="71"/>
        <v>14562759</v>
      </c>
      <c r="AD83" s="25"/>
      <c r="AE83" s="25"/>
      <c r="AF83" s="25"/>
      <c r="AG83" s="25"/>
      <c r="AH83" s="25">
        <f>+'[3]ABRIL 2016'!$O$1609</f>
        <v>9950000</v>
      </c>
      <c r="AI83" s="25"/>
      <c r="AJ83" s="25"/>
      <c r="AK83" s="25"/>
      <c r="AL83" s="25"/>
      <c r="AM83" s="25"/>
      <c r="AN83" s="25"/>
      <c r="AO83" s="25"/>
      <c r="AP83" s="25">
        <f>+'[1]AGOSTO 2016'!$W$2993</f>
        <v>4612759</v>
      </c>
      <c r="AQ83" s="25"/>
      <c r="AR83" s="25"/>
      <c r="AS83" s="25"/>
      <c r="AT83" s="25"/>
      <c r="AU83" s="25"/>
      <c r="AV83" s="25"/>
      <c r="AW83" s="25"/>
      <c r="AX83" s="27">
        <f t="shared" si="86"/>
        <v>0.27186204999999997</v>
      </c>
      <c r="AY83" s="25">
        <f t="shared" si="72"/>
        <v>5437241</v>
      </c>
      <c r="AZ83" s="25">
        <f t="shared" si="73"/>
        <v>0</v>
      </c>
      <c r="BA83" s="25">
        <f t="shared" si="73"/>
        <v>0</v>
      </c>
      <c r="BB83" s="25">
        <f t="shared" si="73"/>
        <v>0</v>
      </c>
      <c r="BC83" s="25">
        <f t="shared" si="89"/>
        <v>50000</v>
      </c>
      <c r="BD83" s="25">
        <f t="shared" si="89"/>
        <v>0</v>
      </c>
      <c r="BE83" s="25">
        <f t="shared" si="89"/>
        <v>0</v>
      </c>
      <c r="BF83" s="25">
        <f t="shared" si="89"/>
        <v>0</v>
      </c>
      <c r="BG83" s="25">
        <f t="shared" si="89"/>
        <v>0</v>
      </c>
      <c r="BH83" s="25">
        <f t="shared" si="89"/>
        <v>0</v>
      </c>
      <c r="BI83" s="25">
        <f t="shared" si="89"/>
        <v>0</v>
      </c>
      <c r="BJ83" s="25">
        <f t="shared" si="89"/>
        <v>0</v>
      </c>
      <c r="BK83" s="25">
        <f t="shared" si="89"/>
        <v>5387241</v>
      </c>
      <c r="BL83" s="25">
        <f t="shared" si="89"/>
        <v>0</v>
      </c>
      <c r="BM83" s="25">
        <f t="shared" si="89"/>
        <v>0</v>
      </c>
      <c r="BN83" s="25">
        <f t="shared" si="89"/>
        <v>0</v>
      </c>
      <c r="BO83" s="25"/>
      <c r="BP83" s="25">
        <f>+X83-AU83</f>
        <v>0</v>
      </c>
      <c r="BQ83" s="25">
        <f t="shared" si="75"/>
        <v>0</v>
      </c>
      <c r="BR83" s="25">
        <f t="shared" si="90"/>
        <v>0</v>
      </c>
      <c r="BS83" s="27">
        <f t="shared" si="87"/>
        <v>0.72813795000000003</v>
      </c>
      <c r="BT83" s="25">
        <f t="shared" si="77"/>
        <v>14562759</v>
      </c>
      <c r="BU83" s="25"/>
      <c r="BV83" s="25"/>
      <c r="BW83" s="25"/>
      <c r="BX83" s="25"/>
      <c r="BY83" s="25">
        <v>9950000</v>
      </c>
      <c r="BZ83" s="25"/>
      <c r="CA83" s="25"/>
      <c r="CB83" s="25"/>
      <c r="CC83" s="25"/>
      <c r="CD83" s="25"/>
      <c r="CE83" s="25"/>
      <c r="CF83" s="25"/>
      <c r="CG83" s="25">
        <f>+'[1]AGOSTO 2016'!$W$2993</f>
        <v>4612759</v>
      </c>
      <c r="CH83" s="25"/>
      <c r="CI83" s="25"/>
      <c r="CJ83" s="25"/>
      <c r="CK83" s="25"/>
      <c r="CL83" s="25"/>
      <c r="CM83" s="25"/>
      <c r="CN83" s="25"/>
      <c r="CO83" s="27">
        <f t="shared" si="78"/>
        <v>0.27186204999999997</v>
      </c>
      <c r="CP83" s="25">
        <f t="shared" si="79"/>
        <v>5437241</v>
      </c>
      <c r="CQ83" s="25">
        <f t="shared" si="94"/>
        <v>0</v>
      </c>
      <c r="CR83" s="25">
        <f t="shared" si="94"/>
        <v>0</v>
      </c>
      <c r="CS83" s="25">
        <f t="shared" si="94"/>
        <v>0</v>
      </c>
      <c r="CT83" s="25">
        <f t="shared" si="94"/>
        <v>50000</v>
      </c>
      <c r="CU83" s="25">
        <f t="shared" si="94"/>
        <v>0</v>
      </c>
      <c r="CV83" s="25">
        <f t="shared" si="94"/>
        <v>0</v>
      </c>
      <c r="CW83" s="25">
        <f>N83-CB83</f>
        <v>0</v>
      </c>
      <c r="CX83" s="25">
        <f>O83-CC83</f>
        <v>0</v>
      </c>
      <c r="CY83" s="25">
        <f>P83-CD83</f>
        <v>0</v>
      </c>
      <c r="CZ83" s="25">
        <f t="shared" si="82"/>
        <v>0</v>
      </c>
      <c r="DA83" s="25">
        <f t="shared" si="82"/>
        <v>0</v>
      </c>
      <c r="DB83" s="25">
        <f t="shared" si="82"/>
        <v>5387241</v>
      </c>
      <c r="DC83" s="25">
        <f>T83-CH83</f>
        <v>0</v>
      </c>
      <c r="DD83" s="25">
        <f>U83-CI83</f>
        <v>0</v>
      </c>
      <c r="DE83" s="25">
        <f>V83-CJ83</f>
        <v>0</v>
      </c>
      <c r="DF83" s="25"/>
      <c r="DG83" s="25">
        <f>X83-CL83</f>
        <v>0</v>
      </c>
      <c r="DH83" s="25">
        <f>Y83-CM83</f>
        <v>0</v>
      </c>
      <c r="DI83" s="25">
        <f>Z83-CN83</f>
        <v>0</v>
      </c>
      <c r="DK83" s="78"/>
      <c r="DL83" s="78"/>
      <c r="DM83" s="276">
        <f t="shared" si="44"/>
        <v>20000000</v>
      </c>
      <c r="DN83" s="277">
        <f t="shared" si="45"/>
        <v>14562759</v>
      </c>
      <c r="DO83" s="278">
        <f t="shared" si="69"/>
        <v>0.72813795000000003</v>
      </c>
    </row>
    <row r="84" spans="1:119" s="59" customFormat="1" ht="35.25" hidden="1" customHeight="1" x14ac:dyDescent="0.25">
      <c r="A84" s="184" t="s">
        <v>179</v>
      </c>
      <c r="B84" s="186" t="s">
        <v>241</v>
      </c>
      <c r="C84" s="69" t="s">
        <v>242</v>
      </c>
      <c r="D84" s="22" t="s">
        <v>243</v>
      </c>
      <c r="E84" s="154">
        <v>520</v>
      </c>
      <c r="F84" s="68" t="s">
        <v>91</v>
      </c>
      <c r="G84" s="25">
        <f t="shared" si="70"/>
        <v>6000000</v>
      </c>
      <c r="H84" s="30"/>
      <c r="I84" s="30"/>
      <c r="J84" s="30"/>
      <c r="K84" s="56">
        <v>6000000</v>
      </c>
      <c r="L84" s="30"/>
      <c r="M84" s="30"/>
      <c r="N84" s="30"/>
      <c r="O84" s="30"/>
      <c r="P84" s="30"/>
      <c r="Q84" s="30"/>
      <c r="R84" s="30"/>
      <c r="S84" s="49"/>
      <c r="T84" s="56"/>
      <c r="U84" s="56"/>
      <c r="V84" s="56"/>
      <c r="W84" s="56"/>
      <c r="X84" s="56"/>
      <c r="Y84" s="56"/>
      <c r="Z84" s="56"/>
      <c r="AB84" s="60">
        <f t="shared" si="85"/>
        <v>0</v>
      </c>
      <c r="AC84" s="25">
        <f t="shared" si="71"/>
        <v>0</v>
      </c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60">
        <f t="shared" si="86"/>
        <v>1</v>
      </c>
      <c r="AY84" s="25">
        <f t="shared" si="72"/>
        <v>6000000</v>
      </c>
      <c r="AZ84" s="56">
        <f t="shared" si="73"/>
        <v>0</v>
      </c>
      <c r="BA84" s="56">
        <f t="shared" si="73"/>
        <v>0</v>
      </c>
      <c r="BB84" s="25">
        <f t="shared" si="73"/>
        <v>0</v>
      </c>
      <c r="BC84" s="56">
        <f t="shared" si="89"/>
        <v>6000000</v>
      </c>
      <c r="BD84" s="56">
        <f t="shared" si="89"/>
        <v>0</v>
      </c>
      <c r="BE84" s="25">
        <f t="shared" si="89"/>
        <v>0</v>
      </c>
      <c r="BF84" s="56">
        <f t="shared" si="89"/>
        <v>0</v>
      </c>
      <c r="BG84" s="56">
        <f t="shared" si="89"/>
        <v>0</v>
      </c>
      <c r="BH84" s="25">
        <f t="shared" si="89"/>
        <v>0</v>
      </c>
      <c r="BI84" s="56">
        <f t="shared" si="89"/>
        <v>0</v>
      </c>
      <c r="BJ84" s="56">
        <f t="shared" si="89"/>
        <v>0</v>
      </c>
      <c r="BK84" s="56">
        <f t="shared" si="89"/>
        <v>0</v>
      </c>
      <c r="BL84" s="56">
        <f t="shared" si="89"/>
        <v>0</v>
      </c>
      <c r="BM84" s="56">
        <f t="shared" si="89"/>
        <v>0</v>
      </c>
      <c r="BN84" s="56">
        <f t="shared" si="89"/>
        <v>0</v>
      </c>
      <c r="BO84" s="56"/>
      <c r="BP84" s="56"/>
      <c r="BQ84" s="25">
        <f t="shared" si="75"/>
        <v>0</v>
      </c>
      <c r="BR84" s="56">
        <f t="shared" si="90"/>
        <v>0</v>
      </c>
      <c r="BS84" s="60">
        <f t="shared" si="87"/>
        <v>0</v>
      </c>
      <c r="BT84" s="25">
        <f t="shared" si="77"/>
        <v>0</v>
      </c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60">
        <f t="shared" si="78"/>
        <v>1</v>
      </c>
      <c r="CP84" s="25">
        <f t="shared" si="79"/>
        <v>6000000</v>
      </c>
      <c r="CQ84" s="25">
        <f t="shared" si="94"/>
        <v>0</v>
      </c>
      <c r="CR84" s="56">
        <f t="shared" si="94"/>
        <v>0</v>
      </c>
      <c r="CS84" s="25">
        <f t="shared" si="94"/>
        <v>0</v>
      </c>
      <c r="CT84" s="56">
        <f t="shared" si="94"/>
        <v>6000000</v>
      </c>
      <c r="CU84" s="56">
        <f t="shared" si="94"/>
        <v>0</v>
      </c>
      <c r="CV84" s="25">
        <f t="shared" si="94"/>
        <v>0</v>
      </c>
      <c r="CW84" s="56">
        <f t="shared" ref="CW84:DE90" si="97">+N84-CB84</f>
        <v>0</v>
      </c>
      <c r="CX84" s="56">
        <f t="shared" si="97"/>
        <v>0</v>
      </c>
      <c r="CY84" s="25">
        <f t="shared" si="97"/>
        <v>0</v>
      </c>
      <c r="CZ84" s="56">
        <f t="shared" si="82"/>
        <v>0</v>
      </c>
      <c r="DA84" s="56">
        <f t="shared" si="82"/>
        <v>0</v>
      </c>
      <c r="DB84" s="56">
        <f t="shared" si="82"/>
        <v>0</v>
      </c>
      <c r="DC84" s="56">
        <f>+T84-CH84</f>
        <v>0</v>
      </c>
      <c r="DD84" s="56">
        <f>+U84-CI84</f>
        <v>0</v>
      </c>
      <c r="DE84" s="56">
        <f>+V84-CJ84</f>
        <v>0</v>
      </c>
      <c r="DF84" s="56"/>
      <c r="DG84" s="56">
        <f>+X84-CL84</f>
        <v>0</v>
      </c>
      <c r="DH84" s="56">
        <f>+Y84-CM84</f>
        <v>0</v>
      </c>
      <c r="DI84" s="56">
        <f>+Z84-CN84</f>
        <v>0</v>
      </c>
      <c r="DK84" s="78"/>
      <c r="DL84" s="78"/>
      <c r="DM84" s="276">
        <f t="shared" si="44"/>
        <v>6000000</v>
      </c>
      <c r="DN84" s="277">
        <f t="shared" si="45"/>
        <v>0</v>
      </c>
      <c r="DO84" s="278">
        <f t="shared" si="69"/>
        <v>0</v>
      </c>
    </row>
    <row r="85" spans="1:119" s="59" customFormat="1" ht="49.5" hidden="1" customHeight="1" x14ac:dyDescent="0.25">
      <c r="A85" s="184"/>
      <c r="B85" s="188"/>
      <c r="C85" s="69" t="s">
        <v>244</v>
      </c>
      <c r="D85" s="22" t="s">
        <v>245</v>
      </c>
      <c r="E85" s="154">
        <v>520</v>
      </c>
      <c r="F85" s="68" t="s">
        <v>91</v>
      </c>
      <c r="G85" s="25">
        <f t="shared" si="70"/>
        <v>6000000</v>
      </c>
      <c r="H85" s="30"/>
      <c r="I85" s="30"/>
      <c r="J85" s="30"/>
      <c r="K85" s="58">
        <v>6000000</v>
      </c>
      <c r="L85" s="30"/>
      <c r="M85" s="30"/>
      <c r="N85" s="30"/>
      <c r="O85" s="30"/>
      <c r="P85" s="30"/>
      <c r="Q85" s="30"/>
      <c r="R85" s="30"/>
      <c r="S85" s="49"/>
      <c r="T85" s="56"/>
      <c r="U85" s="56"/>
      <c r="V85" s="56"/>
      <c r="W85" s="56"/>
      <c r="X85" s="56"/>
      <c r="Y85" s="56"/>
      <c r="Z85" s="56"/>
      <c r="AB85" s="60">
        <f t="shared" si="85"/>
        <v>0</v>
      </c>
      <c r="AC85" s="25">
        <f t="shared" si="71"/>
        <v>0</v>
      </c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60">
        <f t="shared" si="86"/>
        <v>1</v>
      </c>
      <c r="AY85" s="25">
        <f t="shared" si="72"/>
        <v>6000000</v>
      </c>
      <c r="AZ85" s="56">
        <f t="shared" si="73"/>
        <v>0</v>
      </c>
      <c r="BA85" s="56">
        <f t="shared" si="73"/>
        <v>0</v>
      </c>
      <c r="BB85" s="25">
        <f t="shared" si="73"/>
        <v>0</v>
      </c>
      <c r="BC85" s="56">
        <f t="shared" si="89"/>
        <v>6000000</v>
      </c>
      <c r="BD85" s="56">
        <f t="shared" si="89"/>
        <v>0</v>
      </c>
      <c r="BE85" s="25">
        <f t="shared" si="89"/>
        <v>0</v>
      </c>
      <c r="BF85" s="56">
        <f t="shared" si="89"/>
        <v>0</v>
      </c>
      <c r="BG85" s="56">
        <f t="shared" si="89"/>
        <v>0</v>
      </c>
      <c r="BH85" s="25">
        <f t="shared" si="89"/>
        <v>0</v>
      </c>
      <c r="BI85" s="56">
        <f t="shared" si="89"/>
        <v>0</v>
      </c>
      <c r="BJ85" s="56">
        <f t="shared" si="89"/>
        <v>0</v>
      </c>
      <c r="BK85" s="56">
        <f t="shared" si="89"/>
        <v>0</v>
      </c>
      <c r="BL85" s="56">
        <f t="shared" si="89"/>
        <v>0</v>
      </c>
      <c r="BM85" s="56">
        <f t="shared" si="89"/>
        <v>0</v>
      </c>
      <c r="BN85" s="56">
        <f t="shared" si="89"/>
        <v>0</v>
      </c>
      <c r="BO85" s="56"/>
      <c r="BP85" s="56">
        <f>+X85-AU85</f>
        <v>0</v>
      </c>
      <c r="BQ85" s="25">
        <f t="shared" si="75"/>
        <v>0</v>
      </c>
      <c r="BR85" s="56">
        <f t="shared" si="90"/>
        <v>0</v>
      </c>
      <c r="BS85" s="60">
        <f t="shared" si="87"/>
        <v>0</v>
      </c>
      <c r="BT85" s="25">
        <f t="shared" si="77"/>
        <v>0</v>
      </c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60">
        <f t="shared" si="78"/>
        <v>1</v>
      </c>
      <c r="CP85" s="25">
        <f t="shared" si="79"/>
        <v>6000000</v>
      </c>
      <c r="CQ85" s="25">
        <f t="shared" si="94"/>
        <v>0</v>
      </c>
      <c r="CR85" s="56">
        <f t="shared" si="94"/>
        <v>0</v>
      </c>
      <c r="CS85" s="25">
        <f t="shared" si="94"/>
        <v>0</v>
      </c>
      <c r="CT85" s="56">
        <f t="shared" si="94"/>
        <v>6000000</v>
      </c>
      <c r="CU85" s="56">
        <f t="shared" si="94"/>
        <v>0</v>
      </c>
      <c r="CV85" s="25">
        <f t="shared" si="94"/>
        <v>0</v>
      </c>
      <c r="CW85" s="56">
        <f t="shared" si="97"/>
        <v>0</v>
      </c>
      <c r="CX85" s="56">
        <f t="shared" si="97"/>
        <v>0</v>
      </c>
      <c r="CY85" s="25">
        <f t="shared" si="97"/>
        <v>0</v>
      </c>
      <c r="CZ85" s="56">
        <f t="shared" si="82"/>
        <v>0</v>
      </c>
      <c r="DA85" s="56">
        <f t="shared" si="82"/>
        <v>0</v>
      </c>
      <c r="DB85" s="56">
        <f t="shared" si="82"/>
        <v>0</v>
      </c>
      <c r="DC85" s="56">
        <f>T85-CH85</f>
        <v>0</v>
      </c>
      <c r="DD85" s="56">
        <f>U85-CI85</f>
        <v>0</v>
      </c>
      <c r="DE85" s="56">
        <f>V85-CJ85</f>
        <v>0</v>
      </c>
      <c r="DF85" s="56"/>
      <c r="DG85" s="56">
        <f>X85-CL85</f>
        <v>0</v>
      </c>
      <c r="DH85" s="56">
        <f>Y85-CM85</f>
        <v>0</v>
      </c>
      <c r="DI85" s="56">
        <f>Z85-CN85</f>
        <v>0</v>
      </c>
      <c r="DK85" s="78"/>
      <c r="DL85" s="78"/>
      <c r="DM85" s="276">
        <f t="shared" ref="DM85:DM128" si="98">+G85</f>
        <v>6000000</v>
      </c>
      <c r="DN85" s="277">
        <f t="shared" ref="DN85:DN128" si="99">+BT85</f>
        <v>0</v>
      </c>
      <c r="DO85" s="278">
        <f t="shared" si="69"/>
        <v>0</v>
      </c>
    </row>
    <row r="86" spans="1:119" ht="33" hidden="1" customHeight="1" x14ac:dyDescent="0.25">
      <c r="A86" s="184"/>
      <c r="B86" s="186" t="s">
        <v>246</v>
      </c>
      <c r="C86" s="21" t="s">
        <v>247</v>
      </c>
      <c r="D86" s="22" t="s">
        <v>248</v>
      </c>
      <c r="E86" s="23">
        <v>520</v>
      </c>
      <c r="F86" s="68" t="s">
        <v>91</v>
      </c>
      <c r="G86" s="25">
        <f t="shared" si="70"/>
        <v>33106800</v>
      </c>
      <c r="H86" s="36"/>
      <c r="I86" s="25"/>
      <c r="J86" s="25"/>
      <c r="K86" s="58">
        <v>33106800</v>
      </c>
      <c r="L86" s="36"/>
      <c r="M86" s="36"/>
      <c r="N86" s="36"/>
      <c r="O86" s="36"/>
      <c r="P86" s="36"/>
      <c r="Q86" s="30"/>
      <c r="R86" s="36"/>
      <c r="S86" s="49"/>
      <c r="T86" s="25"/>
      <c r="U86" s="25"/>
      <c r="V86" s="25"/>
      <c r="W86" s="25"/>
      <c r="X86" s="25"/>
      <c r="Y86" s="25"/>
      <c r="Z86" s="25"/>
      <c r="AA86" s="59"/>
      <c r="AB86" s="27">
        <f t="shared" si="85"/>
        <v>1</v>
      </c>
      <c r="AC86" s="25">
        <f t="shared" si="71"/>
        <v>33106800</v>
      </c>
      <c r="AD86" s="25"/>
      <c r="AE86" s="25"/>
      <c r="AF86" s="25"/>
      <c r="AG86" s="25"/>
      <c r="AH86" s="25">
        <f>+'[4]ENERO 2016'!$O$848</f>
        <v>33106800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7">
        <f t="shared" si="86"/>
        <v>0</v>
      </c>
      <c r="AY86" s="25">
        <f t="shared" si="72"/>
        <v>0</v>
      </c>
      <c r="AZ86" s="25">
        <f t="shared" si="73"/>
        <v>0</v>
      </c>
      <c r="BA86" s="25">
        <f t="shared" si="73"/>
        <v>0</v>
      </c>
      <c r="BB86" s="25">
        <f t="shared" si="73"/>
        <v>0</v>
      </c>
      <c r="BC86" s="25">
        <f t="shared" si="89"/>
        <v>0</v>
      </c>
      <c r="BD86" s="25">
        <f t="shared" si="89"/>
        <v>0</v>
      </c>
      <c r="BE86" s="25">
        <f t="shared" si="89"/>
        <v>0</v>
      </c>
      <c r="BF86" s="56">
        <f t="shared" si="89"/>
        <v>0</v>
      </c>
      <c r="BG86" s="25">
        <f t="shared" si="89"/>
        <v>0</v>
      </c>
      <c r="BH86" s="25">
        <f t="shared" si="89"/>
        <v>0</v>
      </c>
      <c r="BI86" s="25">
        <f t="shared" si="89"/>
        <v>0</v>
      </c>
      <c r="BJ86" s="25">
        <f t="shared" si="89"/>
        <v>0</v>
      </c>
      <c r="BK86" s="25">
        <f t="shared" si="89"/>
        <v>0</v>
      </c>
      <c r="BL86" s="25">
        <f t="shared" si="89"/>
        <v>0</v>
      </c>
      <c r="BM86" s="25">
        <f t="shared" si="89"/>
        <v>0</v>
      </c>
      <c r="BN86" s="25">
        <f t="shared" si="89"/>
        <v>0</v>
      </c>
      <c r="BO86" s="25"/>
      <c r="BP86" s="25"/>
      <c r="BQ86" s="25">
        <f t="shared" si="75"/>
        <v>0</v>
      </c>
      <c r="BR86" s="25">
        <f t="shared" si="90"/>
        <v>0</v>
      </c>
      <c r="BS86" s="27">
        <f t="shared" si="87"/>
        <v>1</v>
      </c>
      <c r="BT86" s="25">
        <f t="shared" si="77"/>
        <v>33106800</v>
      </c>
      <c r="BU86" s="25"/>
      <c r="BV86" s="25"/>
      <c r="BW86" s="25"/>
      <c r="BX86" s="25"/>
      <c r="BY86" s="25">
        <f>+'[3]ABRIL 2016'!$H$1625</f>
        <v>33106800</v>
      </c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60">
        <f t="shared" si="78"/>
        <v>0</v>
      </c>
      <c r="CP86" s="25">
        <f t="shared" si="79"/>
        <v>0</v>
      </c>
      <c r="CQ86" s="25">
        <f t="shared" si="94"/>
        <v>0</v>
      </c>
      <c r="CR86" s="56">
        <f t="shared" si="94"/>
        <v>0</v>
      </c>
      <c r="CS86" s="25">
        <f t="shared" si="94"/>
        <v>0</v>
      </c>
      <c r="CT86" s="25">
        <f t="shared" si="94"/>
        <v>0</v>
      </c>
      <c r="CU86" s="56">
        <f t="shared" si="94"/>
        <v>0</v>
      </c>
      <c r="CV86" s="25">
        <f t="shared" si="94"/>
        <v>0</v>
      </c>
      <c r="CW86" s="56">
        <f t="shared" si="97"/>
        <v>0</v>
      </c>
      <c r="CX86" s="56">
        <f t="shared" si="97"/>
        <v>0</v>
      </c>
      <c r="CY86" s="25">
        <f t="shared" si="97"/>
        <v>0</v>
      </c>
      <c r="CZ86" s="56">
        <f t="shared" si="82"/>
        <v>0</v>
      </c>
      <c r="DA86" s="25">
        <f t="shared" si="82"/>
        <v>0</v>
      </c>
      <c r="DB86" s="25">
        <f t="shared" si="82"/>
        <v>0</v>
      </c>
      <c r="DC86" s="25">
        <f t="shared" ref="DC86:DE88" si="100">+T86-CH86</f>
        <v>0</v>
      </c>
      <c r="DD86" s="25">
        <f t="shared" si="100"/>
        <v>0</v>
      </c>
      <c r="DE86" s="25">
        <f t="shared" si="100"/>
        <v>0</v>
      </c>
      <c r="DF86" s="25"/>
      <c r="DG86" s="25">
        <f>+X86-CL86</f>
        <v>0</v>
      </c>
      <c r="DH86" s="56">
        <f>Y86-CM86</f>
        <v>0</v>
      </c>
      <c r="DI86" s="25">
        <f>+Z86-CN86</f>
        <v>0</v>
      </c>
      <c r="DK86" s="78"/>
      <c r="DL86" s="78"/>
      <c r="DM86" s="276">
        <f t="shared" si="98"/>
        <v>33106800</v>
      </c>
      <c r="DN86" s="277">
        <f t="shared" si="99"/>
        <v>33106800</v>
      </c>
      <c r="DO86" s="278">
        <f t="shared" si="69"/>
        <v>1</v>
      </c>
    </row>
    <row r="87" spans="1:119" ht="19.5" hidden="1" customHeight="1" x14ac:dyDescent="0.25">
      <c r="A87" s="184"/>
      <c r="B87" s="187"/>
      <c r="C87" s="21" t="s">
        <v>249</v>
      </c>
      <c r="D87" s="22" t="s">
        <v>250</v>
      </c>
      <c r="E87" s="23">
        <v>520</v>
      </c>
      <c r="F87" s="68" t="s">
        <v>91</v>
      </c>
      <c r="G87" s="25">
        <f t="shared" si="70"/>
        <v>15184000</v>
      </c>
      <c r="H87" s="36"/>
      <c r="I87" s="25"/>
      <c r="J87" s="25"/>
      <c r="K87" s="58">
        <v>15184000</v>
      </c>
      <c r="L87" s="36"/>
      <c r="M87" s="36"/>
      <c r="N87" s="36"/>
      <c r="O87" s="36"/>
      <c r="P87" s="36"/>
      <c r="Q87" s="30"/>
      <c r="R87" s="36"/>
      <c r="S87" s="49"/>
      <c r="T87" s="25"/>
      <c r="U87" s="25"/>
      <c r="V87" s="25"/>
      <c r="W87" s="25"/>
      <c r="X87" s="25"/>
      <c r="Y87" s="25"/>
      <c r="Z87" s="25"/>
      <c r="AA87" s="59"/>
      <c r="AB87" s="27">
        <f t="shared" si="85"/>
        <v>1</v>
      </c>
      <c r="AC87" s="25">
        <f t="shared" si="71"/>
        <v>15184000</v>
      </c>
      <c r="AD87" s="25"/>
      <c r="AE87" s="25"/>
      <c r="AF87" s="25"/>
      <c r="AG87" s="25"/>
      <c r="AH87" s="25">
        <f>+'[4]ENERO 2016'!$O$854</f>
        <v>15184000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7">
        <f t="shared" si="86"/>
        <v>0</v>
      </c>
      <c r="AY87" s="25">
        <f t="shared" si="72"/>
        <v>0</v>
      </c>
      <c r="AZ87" s="25">
        <f t="shared" si="73"/>
        <v>0</v>
      </c>
      <c r="BA87" s="25">
        <f t="shared" si="73"/>
        <v>0</v>
      </c>
      <c r="BB87" s="25">
        <f t="shared" si="73"/>
        <v>0</v>
      </c>
      <c r="BC87" s="25">
        <f t="shared" ref="BC87:BN90" si="101">+K87-AH87</f>
        <v>0</v>
      </c>
      <c r="BD87" s="25">
        <f t="shared" si="101"/>
        <v>0</v>
      </c>
      <c r="BE87" s="25">
        <f t="shared" si="101"/>
        <v>0</v>
      </c>
      <c r="BF87" s="56">
        <f t="shared" si="101"/>
        <v>0</v>
      </c>
      <c r="BG87" s="25">
        <f t="shared" si="101"/>
        <v>0</v>
      </c>
      <c r="BH87" s="25">
        <f t="shared" si="101"/>
        <v>0</v>
      </c>
      <c r="BI87" s="25">
        <f t="shared" si="101"/>
        <v>0</v>
      </c>
      <c r="BJ87" s="25">
        <f t="shared" si="101"/>
        <v>0</v>
      </c>
      <c r="BK87" s="25">
        <f t="shared" si="101"/>
        <v>0</v>
      </c>
      <c r="BL87" s="25">
        <f t="shared" si="101"/>
        <v>0</v>
      </c>
      <c r="BM87" s="25">
        <f t="shared" si="101"/>
        <v>0</v>
      </c>
      <c r="BN87" s="25">
        <f t="shared" si="101"/>
        <v>0</v>
      </c>
      <c r="BO87" s="25"/>
      <c r="BP87" s="25"/>
      <c r="BQ87" s="25">
        <f t="shared" si="75"/>
        <v>0</v>
      </c>
      <c r="BR87" s="25">
        <f t="shared" si="90"/>
        <v>0</v>
      </c>
      <c r="BS87" s="27">
        <f t="shared" si="87"/>
        <v>0.97602917544783985</v>
      </c>
      <c r="BT87" s="25">
        <f t="shared" si="77"/>
        <v>14820027</v>
      </c>
      <c r="BU87" s="25"/>
      <c r="BV87" s="25"/>
      <c r="BW87" s="25"/>
      <c r="BX87" s="25"/>
      <c r="BY87" s="25">
        <f>+'[1]AGOSTO 2016'!$H$3026</f>
        <v>14820027</v>
      </c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60">
        <f t="shared" si="78"/>
        <v>2.3970824552160153E-2</v>
      </c>
      <c r="CP87" s="25">
        <f t="shared" si="79"/>
        <v>363973</v>
      </c>
      <c r="CQ87" s="25">
        <f t="shared" si="94"/>
        <v>0</v>
      </c>
      <c r="CR87" s="56">
        <f t="shared" si="94"/>
        <v>0</v>
      </c>
      <c r="CS87" s="25">
        <f t="shared" si="94"/>
        <v>0</v>
      </c>
      <c r="CT87" s="25">
        <f t="shared" si="94"/>
        <v>363973</v>
      </c>
      <c r="CU87" s="56">
        <f t="shared" si="94"/>
        <v>0</v>
      </c>
      <c r="CV87" s="25">
        <f t="shared" si="94"/>
        <v>0</v>
      </c>
      <c r="CW87" s="56">
        <f t="shared" si="97"/>
        <v>0</v>
      </c>
      <c r="CX87" s="56">
        <f t="shared" si="97"/>
        <v>0</v>
      </c>
      <c r="CY87" s="25">
        <f t="shared" si="97"/>
        <v>0</v>
      </c>
      <c r="CZ87" s="56">
        <f t="shared" si="82"/>
        <v>0</v>
      </c>
      <c r="DA87" s="25">
        <f t="shared" si="82"/>
        <v>0</v>
      </c>
      <c r="DB87" s="25">
        <f t="shared" si="82"/>
        <v>0</v>
      </c>
      <c r="DC87" s="25">
        <f t="shared" si="100"/>
        <v>0</v>
      </c>
      <c r="DD87" s="25">
        <f t="shared" si="100"/>
        <v>0</v>
      </c>
      <c r="DE87" s="25">
        <f t="shared" si="100"/>
        <v>0</v>
      </c>
      <c r="DF87" s="25"/>
      <c r="DG87" s="25">
        <f>+X87-CL87</f>
        <v>0</v>
      </c>
      <c r="DH87" s="56">
        <f>Y87-CM87</f>
        <v>0</v>
      </c>
      <c r="DI87" s="25">
        <f>+Z87-CN87</f>
        <v>0</v>
      </c>
      <c r="DK87" s="78"/>
      <c r="DL87" s="78"/>
      <c r="DM87" s="276">
        <f t="shared" si="98"/>
        <v>15184000</v>
      </c>
      <c r="DN87" s="277">
        <f t="shared" si="99"/>
        <v>14820027</v>
      </c>
      <c r="DO87" s="278">
        <f t="shared" si="69"/>
        <v>0.97602917544783985</v>
      </c>
    </row>
    <row r="88" spans="1:119" ht="33.75" hidden="1" customHeight="1" x14ac:dyDescent="0.25">
      <c r="A88" s="184"/>
      <c r="B88" s="187"/>
      <c r="C88" s="21" t="s">
        <v>251</v>
      </c>
      <c r="D88" s="22" t="s">
        <v>252</v>
      </c>
      <c r="E88" s="23">
        <v>520</v>
      </c>
      <c r="F88" s="68" t="s">
        <v>91</v>
      </c>
      <c r="G88" s="25">
        <f t="shared" si="70"/>
        <v>17000000</v>
      </c>
      <c r="H88" s="36"/>
      <c r="I88" s="36"/>
      <c r="J88" s="36"/>
      <c r="K88" s="58">
        <v>16000000</v>
      </c>
      <c r="L88" s="36"/>
      <c r="M88" s="36"/>
      <c r="N88" s="36"/>
      <c r="O88" s="36"/>
      <c r="P88" s="36"/>
      <c r="Q88" s="30"/>
      <c r="R88" s="36"/>
      <c r="S88" s="58"/>
      <c r="T88" s="25"/>
      <c r="U88" s="25"/>
      <c r="V88" s="25"/>
      <c r="W88" s="25"/>
      <c r="X88" s="25"/>
      <c r="Y88" s="25"/>
      <c r="Z88" s="25">
        <f>1000000</f>
        <v>1000000</v>
      </c>
      <c r="AA88" s="59"/>
      <c r="AB88" s="27">
        <f t="shared" si="85"/>
        <v>0.65294117647058825</v>
      </c>
      <c r="AC88" s="25">
        <f t="shared" si="71"/>
        <v>11100000</v>
      </c>
      <c r="AD88" s="25"/>
      <c r="AE88" s="25"/>
      <c r="AF88" s="25"/>
      <c r="AG88" s="25"/>
      <c r="AH88" s="25">
        <f>+'[1]AGOSTO 2016'!$O$3040</f>
        <v>11100000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7">
        <f t="shared" si="86"/>
        <v>0.34705882352941175</v>
      </c>
      <c r="AY88" s="25">
        <f t="shared" si="72"/>
        <v>5900000</v>
      </c>
      <c r="AZ88" s="25">
        <f t="shared" si="73"/>
        <v>0</v>
      </c>
      <c r="BA88" s="25">
        <f t="shared" si="73"/>
        <v>0</v>
      </c>
      <c r="BB88" s="25">
        <f t="shared" si="73"/>
        <v>0</v>
      </c>
      <c r="BC88" s="25">
        <f t="shared" si="101"/>
        <v>4900000</v>
      </c>
      <c r="BD88" s="25">
        <f t="shared" si="101"/>
        <v>0</v>
      </c>
      <c r="BE88" s="25">
        <f t="shared" si="101"/>
        <v>0</v>
      </c>
      <c r="BF88" s="56">
        <f t="shared" si="101"/>
        <v>0</v>
      </c>
      <c r="BG88" s="25">
        <f t="shared" si="101"/>
        <v>0</v>
      </c>
      <c r="BH88" s="25">
        <f t="shared" si="101"/>
        <v>0</v>
      </c>
      <c r="BI88" s="25">
        <f t="shared" si="101"/>
        <v>0</v>
      </c>
      <c r="BJ88" s="25">
        <f t="shared" si="101"/>
        <v>0</v>
      </c>
      <c r="BK88" s="25">
        <f t="shared" si="101"/>
        <v>0</v>
      </c>
      <c r="BL88" s="25">
        <f t="shared" si="101"/>
        <v>0</v>
      </c>
      <c r="BM88" s="25">
        <f t="shared" si="101"/>
        <v>0</v>
      </c>
      <c r="BN88" s="25">
        <f t="shared" si="101"/>
        <v>0</v>
      </c>
      <c r="BO88" s="25"/>
      <c r="BP88" s="25"/>
      <c r="BQ88" s="25">
        <f t="shared" si="75"/>
        <v>0</v>
      </c>
      <c r="BR88" s="25">
        <f t="shared" si="90"/>
        <v>1000000</v>
      </c>
      <c r="BS88" s="27">
        <f t="shared" si="87"/>
        <v>0.26470588235294118</v>
      </c>
      <c r="BT88" s="25">
        <f t="shared" si="77"/>
        <v>4500000</v>
      </c>
      <c r="BU88" s="25"/>
      <c r="BV88" s="25"/>
      <c r="BW88" s="25"/>
      <c r="BX88" s="25"/>
      <c r="BY88" s="25">
        <f>+'[6]JULIO 2016'!$H$2374</f>
        <v>4500000</v>
      </c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60">
        <f t="shared" si="78"/>
        <v>0.73529411764705888</v>
      </c>
      <c r="CP88" s="25">
        <f t="shared" si="79"/>
        <v>12500000</v>
      </c>
      <c r="CQ88" s="25">
        <f t="shared" si="94"/>
        <v>0</v>
      </c>
      <c r="CR88" s="56">
        <f t="shared" si="94"/>
        <v>0</v>
      </c>
      <c r="CS88" s="25">
        <f t="shared" si="94"/>
        <v>0</v>
      </c>
      <c r="CT88" s="25">
        <f t="shared" si="94"/>
        <v>11500000</v>
      </c>
      <c r="CU88" s="56">
        <f t="shared" si="94"/>
        <v>0</v>
      </c>
      <c r="CV88" s="25">
        <f t="shared" si="94"/>
        <v>0</v>
      </c>
      <c r="CW88" s="56">
        <f t="shared" si="97"/>
        <v>0</v>
      </c>
      <c r="CX88" s="56">
        <f t="shared" si="97"/>
        <v>0</v>
      </c>
      <c r="CY88" s="25">
        <f t="shared" si="97"/>
        <v>0</v>
      </c>
      <c r="CZ88" s="56">
        <f t="shared" si="82"/>
        <v>0</v>
      </c>
      <c r="DA88" s="25">
        <f t="shared" si="82"/>
        <v>0</v>
      </c>
      <c r="DB88" s="25">
        <f t="shared" si="82"/>
        <v>0</v>
      </c>
      <c r="DC88" s="25">
        <f t="shared" si="100"/>
        <v>0</v>
      </c>
      <c r="DD88" s="25">
        <f t="shared" si="100"/>
        <v>0</v>
      </c>
      <c r="DE88" s="25">
        <f t="shared" si="100"/>
        <v>0</v>
      </c>
      <c r="DF88" s="25"/>
      <c r="DG88" s="25">
        <f>+X88-CL88</f>
        <v>0</v>
      </c>
      <c r="DH88" s="56">
        <f>Y88-CM88</f>
        <v>0</v>
      </c>
      <c r="DI88" s="25">
        <f>+Z88-CN88</f>
        <v>1000000</v>
      </c>
      <c r="DK88" s="78"/>
      <c r="DL88" s="78"/>
      <c r="DM88" s="276">
        <f t="shared" si="98"/>
        <v>17000000</v>
      </c>
      <c r="DN88" s="277">
        <f t="shared" si="99"/>
        <v>4500000</v>
      </c>
      <c r="DO88" s="278">
        <f t="shared" si="69"/>
        <v>0.26470588235294118</v>
      </c>
    </row>
    <row r="89" spans="1:119" ht="21" hidden="1" customHeight="1" x14ac:dyDescent="0.25">
      <c r="A89" s="184"/>
      <c r="B89" s="187"/>
      <c r="C89" s="70" t="s">
        <v>253</v>
      </c>
      <c r="D89" s="22" t="s">
        <v>254</v>
      </c>
      <c r="E89" s="23">
        <v>520</v>
      </c>
      <c r="F89" s="68" t="s">
        <v>91</v>
      </c>
      <c r="G89" s="25">
        <f t="shared" si="70"/>
        <v>300709200</v>
      </c>
      <c r="H89" s="71"/>
      <c r="I89" s="71"/>
      <c r="J89" s="71"/>
      <c r="K89" s="58">
        <v>35709200</v>
      </c>
      <c r="L89" s="71"/>
      <c r="M89" s="71"/>
      <c r="N89" s="71"/>
      <c r="O89" s="71"/>
      <c r="P89" s="71"/>
      <c r="Q89" s="72"/>
      <c r="R89" s="71"/>
      <c r="S89" s="58">
        <v>265000000</v>
      </c>
      <c r="T89" s="73"/>
      <c r="U89" s="73"/>
      <c r="V89" s="73"/>
      <c r="W89" s="73"/>
      <c r="X89" s="73"/>
      <c r="Y89" s="73"/>
      <c r="Z89" s="73"/>
      <c r="AA89" s="59"/>
      <c r="AB89" s="27">
        <f t="shared" si="85"/>
        <v>0.90023584246840471</v>
      </c>
      <c r="AC89" s="25">
        <f t="shared" si="71"/>
        <v>270709200</v>
      </c>
      <c r="AD89" s="73"/>
      <c r="AE89" s="73"/>
      <c r="AF89" s="73"/>
      <c r="AG89" s="73"/>
      <c r="AH89" s="73">
        <f>+'[4]ENERO 2016'!$O$864</f>
        <v>35709200</v>
      </c>
      <c r="AI89" s="73"/>
      <c r="AJ89" s="73"/>
      <c r="AK89" s="73"/>
      <c r="AL89" s="73"/>
      <c r="AM89" s="73"/>
      <c r="AN89" s="73"/>
      <c r="AO89" s="73"/>
      <c r="AP89" s="73">
        <f>+'[1]AGOSTO 2016'!$W$3047</f>
        <v>235000000</v>
      </c>
      <c r="AQ89" s="73"/>
      <c r="AR89" s="73"/>
      <c r="AS89" s="73"/>
      <c r="AT89" s="73"/>
      <c r="AU89" s="73"/>
      <c r="AV89" s="73"/>
      <c r="AW89" s="73"/>
      <c r="AX89" s="27">
        <f t="shared" si="86"/>
        <v>9.9764157531595288E-2</v>
      </c>
      <c r="AY89" s="25">
        <f t="shared" si="72"/>
        <v>30000000</v>
      </c>
      <c r="AZ89" s="25">
        <f t="shared" si="73"/>
        <v>0</v>
      </c>
      <c r="BA89" s="25">
        <f t="shared" si="73"/>
        <v>0</v>
      </c>
      <c r="BB89" s="25">
        <f t="shared" si="73"/>
        <v>0</v>
      </c>
      <c r="BC89" s="25">
        <f t="shared" si="101"/>
        <v>0</v>
      </c>
      <c r="BD89" s="25">
        <f t="shared" si="101"/>
        <v>0</v>
      </c>
      <c r="BE89" s="25">
        <f t="shared" si="101"/>
        <v>0</v>
      </c>
      <c r="BF89" s="56">
        <f t="shared" si="101"/>
        <v>0</v>
      </c>
      <c r="BG89" s="25">
        <f t="shared" si="101"/>
        <v>0</v>
      </c>
      <c r="BH89" s="25">
        <f t="shared" si="101"/>
        <v>0</v>
      </c>
      <c r="BI89" s="25">
        <f t="shared" si="101"/>
        <v>0</v>
      </c>
      <c r="BJ89" s="25">
        <f t="shared" si="101"/>
        <v>0</v>
      </c>
      <c r="BK89" s="25">
        <f t="shared" si="101"/>
        <v>30000000</v>
      </c>
      <c r="BL89" s="25">
        <f t="shared" si="101"/>
        <v>0</v>
      </c>
      <c r="BM89" s="25">
        <f t="shared" si="101"/>
        <v>0</v>
      </c>
      <c r="BN89" s="25">
        <f t="shared" si="101"/>
        <v>0</v>
      </c>
      <c r="BO89" s="25"/>
      <c r="BP89" s="25">
        <f>+X89-AU89</f>
        <v>0</v>
      </c>
      <c r="BQ89" s="25">
        <f t="shared" si="75"/>
        <v>0</v>
      </c>
      <c r="BR89" s="25">
        <f t="shared" si="90"/>
        <v>0</v>
      </c>
      <c r="BS89" s="27">
        <f t="shared" si="87"/>
        <v>0.84788939945967734</v>
      </c>
      <c r="BT89" s="25">
        <f t="shared" si="77"/>
        <v>254968143</v>
      </c>
      <c r="BU89" s="73"/>
      <c r="BV89" s="73"/>
      <c r="BW89" s="73"/>
      <c r="BX89" s="73"/>
      <c r="BY89" s="73">
        <f>+'[1]AGOSTO 2016'!$H$3048</f>
        <v>33050686</v>
      </c>
      <c r="BZ89" s="73"/>
      <c r="CA89" s="73"/>
      <c r="CB89" s="73"/>
      <c r="CC89" s="73"/>
      <c r="CD89" s="73"/>
      <c r="CE89" s="73"/>
      <c r="CF89" s="73"/>
      <c r="CG89" s="73">
        <f>+'[1]AGOSTO 2016'!$H$3053+'[1]AGOSTO 2016'!$H$3056</f>
        <v>221917457</v>
      </c>
      <c r="CH89" s="73"/>
      <c r="CI89" s="73"/>
      <c r="CJ89" s="73"/>
      <c r="CK89" s="73"/>
      <c r="CL89" s="73"/>
      <c r="CM89" s="73"/>
      <c r="CN89" s="73"/>
      <c r="CO89" s="60">
        <f t="shared" si="78"/>
        <v>0.15211060054032266</v>
      </c>
      <c r="CP89" s="25">
        <f t="shared" si="79"/>
        <v>45741057</v>
      </c>
      <c r="CQ89" s="25">
        <f t="shared" si="94"/>
        <v>0</v>
      </c>
      <c r="CR89" s="56">
        <f t="shared" si="94"/>
        <v>0</v>
      </c>
      <c r="CS89" s="25">
        <f t="shared" si="94"/>
        <v>0</v>
      </c>
      <c r="CT89" s="25">
        <f t="shared" si="94"/>
        <v>2658514</v>
      </c>
      <c r="CU89" s="56">
        <f t="shared" si="94"/>
        <v>0</v>
      </c>
      <c r="CV89" s="25">
        <f t="shared" si="94"/>
        <v>0</v>
      </c>
      <c r="CW89" s="56">
        <f t="shared" si="97"/>
        <v>0</v>
      </c>
      <c r="CX89" s="56">
        <f t="shared" si="97"/>
        <v>0</v>
      </c>
      <c r="CY89" s="25">
        <f t="shared" si="97"/>
        <v>0</v>
      </c>
      <c r="CZ89" s="56">
        <f t="shared" si="82"/>
        <v>0</v>
      </c>
      <c r="DA89" s="56">
        <f t="shared" si="82"/>
        <v>0</v>
      </c>
      <c r="DB89" s="56">
        <f t="shared" si="82"/>
        <v>43082543</v>
      </c>
      <c r="DC89" s="56">
        <f>T89-CH89</f>
        <v>0</v>
      </c>
      <c r="DD89" s="56">
        <f>U89-CI89</f>
        <v>0</v>
      </c>
      <c r="DE89" s="56">
        <f>V89-CJ89</f>
        <v>0</v>
      </c>
      <c r="DF89" s="56"/>
      <c r="DG89" s="56">
        <f>X89-CL89</f>
        <v>0</v>
      </c>
      <c r="DH89" s="56">
        <f>Y89-CM89</f>
        <v>0</v>
      </c>
      <c r="DI89" s="56">
        <f>Z89-CN89</f>
        <v>0</v>
      </c>
      <c r="DK89" s="78"/>
      <c r="DL89" s="78"/>
      <c r="DM89" s="276">
        <f t="shared" si="98"/>
        <v>300709200</v>
      </c>
      <c r="DN89" s="277">
        <f t="shared" si="99"/>
        <v>254968143</v>
      </c>
      <c r="DO89" s="278">
        <f t="shared" si="69"/>
        <v>0.84788939945967734</v>
      </c>
    </row>
    <row r="90" spans="1:119" ht="69.75" hidden="1" customHeight="1" x14ac:dyDescent="0.25">
      <c r="A90" s="185"/>
      <c r="B90" s="188"/>
      <c r="C90" s="21" t="s">
        <v>255</v>
      </c>
      <c r="D90" s="22" t="s">
        <v>256</v>
      </c>
      <c r="E90" s="23">
        <v>520</v>
      </c>
      <c r="F90" s="24" t="s">
        <v>257</v>
      </c>
      <c r="G90" s="25">
        <f t="shared" si="70"/>
        <v>50055444</v>
      </c>
      <c r="H90" s="71"/>
      <c r="I90" s="71"/>
      <c r="J90" s="71"/>
      <c r="K90" s="71"/>
      <c r="L90" s="71"/>
      <c r="M90" s="71"/>
      <c r="N90" s="71"/>
      <c r="O90" s="71"/>
      <c r="P90" s="71"/>
      <c r="Q90" s="72"/>
      <c r="R90" s="71"/>
      <c r="S90" s="58"/>
      <c r="T90" s="73"/>
      <c r="U90" s="73"/>
      <c r="V90" s="73"/>
      <c r="W90" s="73"/>
      <c r="X90" s="73"/>
      <c r="Y90" s="73"/>
      <c r="Z90" s="73">
        <f>26599846+5000000+955598+1000000+3500000+3000000+10000000</f>
        <v>50055444</v>
      </c>
      <c r="AA90" s="59"/>
      <c r="AB90" s="27">
        <f t="shared" si="85"/>
        <v>0.72955766809300504</v>
      </c>
      <c r="AC90" s="25">
        <f t="shared" si="71"/>
        <v>36518333</v>
      </c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>
        <f>+'[1]AGOSTO 2016'!$G$3094</f>
        <v>36518333</v>
      </c>
      <c r="AX90" s="27">
        <f t="shared" si="86"/>
        <v>0.27044233190699496</v>
      </c>
      <c r="AY90" s="25">
        <f t="shared" si="72"/>
        <v>13537111</v>
      </c>
      <c r="AZ90" s="25">
        <f t="shared" si="73"/>
        <v>0</v>
      </c>
      <c r="BA90" s="25">
        <f t="shared" si="73"/>
        <v>0</v>
      </c>
      <c r="BB90" s="25">
        <f t="shared" si="73"/>
        <v>0</v>
      </c>
      <c r="BC90" s="25">
        <f t="shared" si="101"/>
        <v>0</v>
      </c>
      <c r="BD90" s="25">
        <f t="shared" si="101"/>
        <v>0</v>
      </c>
      <c r="BE90" s="25">
        <f t="shared" si="101"/>
        <v>0</v>
      </c>
      <c r="BF90" s="56">
        <f t="shared" si="101"/>
        <v>0</v>
      </c>
      <c r="BG90" s="25">
        <f t="shared" si="101"/>
        <v>0</v>
      </c>
      <c r="BH90" s="25">
        <f t="shared" si="101"/>
        <v>0</v>
      </c>
      <c r="BI90" s="25">
        <f t="shared" si="101"/>
        <v>0</v>
      </c>
      <c r="BJ90" s="25">
        <f t="shared" si="101"/>
        <v>0</v>
      </c>
      <c r="BK90" s="25">
        <f t="shared" si="101"/>
        <v>0</v>
      </c>
      <c r="BL90" s="25">
        <f t="shared" si="101"/>
        <v>0</v>
      </c>
      <c r="BM90" s="25">
        <f t="shared" si="101"/>
        <v>0</v>
      </c>
      <c r="BN90" s="25">
        <f t="shared" si="101"/>
        <v>0</v>
      </c>
      <c r="BO90" s="25"/>
      <c r="BP90" s="25">
        <f>+X90-AU90</f>
        <v>0</v>
      </c>
      <c r="BQ90" s="25">
        <f t="shared" si="75"/>
        <v>0</v>
      </c>
      <c r="BR90" s="25">
        <f t="shared" si="90"/>
        <v>13537111</v>
      </c>
      <c r="BS90" s="27">
        <f t="shared" si="87"/>
        <v>1.6581612980997633E-2</v>
      </c>
      <c r="BT90" s="25">
        <f t="shared" si="77"/>
        <v>830000</v>
      </c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>
        <f>+'[1]AGOSTO 2016'!$H$3094</f>
        <v>830000</v>
      </c>
      <c r="CO90" s="60">
        <f t="shared" si="78"/>
        <v>0.98341838701900242</v>
      </c>
      <c r="CP90" s="25">
        <f t="shared" si="79"/>
        <v>49225444</v>
      </c>
      <c r="CQ90" s="25">
        <f t="shared" si="94"/>
        <v>0</v>
      </c>
      <c r="CR90" s="56">
        <f t="shared" si="94"/>
        <v>0</v>
      </c>
      <c r="CS90" s="25">
        <f t="shared" si="94"/>
        <v>0</v>
      </c>
      <c r="CT90" s="25">
        <f t="shared" si="94"/>
        <v>0</v>
      </c>
      <c r="CU90" s="56">
        <f t="shared" si="94"/>
        <v>0</v>
      </c>
      <c r="CV90" s="25">
        <f t="shared" si="94"/>
        <v>0</v>
      </c>
      <c r="CW90" s="56">
        <f t="shared" si="97"/>
        <v>0</v>
      </c>
      <c r="CX90" s="56">
        <f t="shared" si="97"/>
        <v>0</v>
      </c>
      <c r="CY90" s="25">
        <f t="shared" si="97"/>
        <v>0</v>
      </c>
      <c r="CZ90" s="25">
        <f t="shared" si="97"/>
        <v>0</v>
      </c>
      <c r="DA90" s="25">
        <f t="shared" si="97"/>
        <v>0</v>
      </c>
      <c r="DB90" s="25">
        <f t="shared" si="97"/>
        <v>0</v>
      </c>
      <c r="DC90" s="25">
        <f t="shared" si="97"/>
        <v>0</v>
      </c>
      <c r="DD90" s="25">
        <f t="shared" si="97"/>
        <v>0</v>
      </c>
      <c r="DE90" s="25">
        <f t="shared" si="97"/>
        <v>0</v>
      </c>
      <c r="DF90" s="25"/>
      <c r="DG90" s="25">
        <f>+X90-CL90</f>
        <v>0</v>
      </c>
      <c r="DH90" s="25">
        <f>+Y90-CM90</f>
        <v>0</v>
      </c>
      <c r="DI90" s="25">
        <f>+Z90-CN90</f>
        <v>49225444</v>
      </c>
      <c r="DK90" s="78"/>
      <c r="DL90" s="78"/>
      <c r="DM90" s="276">
        <f t="shared" si="98"/>
        <v>50055444</v>
      </c>
      <c r="DN90" s="277">
        <f t="shared" si="99"/>
        <v>830000</v>
      </c>
      <c r="DO90" s="278">
        <f t="shared" si="69"/>
        <v>1.6581612980997633E-2</v>
      </c>
    </row>
    <row r="91" spans="1:119" s="47" customFormat="1" ht="20.25" customHeight="1" thickTop="1" thickBot="1" x14ac:dyDescent="0.3">
      <c r="A91" s="74"/>
      <c r="B91" s="245" t="s">
        <v>378</v>
      </c>
      <c r="C91" s="246"/>
      <c r="D91" s="246"/>
      <c r="E91" s="246"/>
      <c r="F91" s="247"/>
      <c r="G91" s="63">
        <f>SUM(G59:G90)</f>
        <v>1683497241</v>
      </c>
      <c r="H91" s="63">
        <f>SUM(H59:H88)</f>
        <v>0</v>
      </c>
      <c r="I91" s="63">
        <f>SUM(I59:I88)</f>
        <v>0</v>
      </c>
      <c r="J91" s="63">
        <f>SUM(J59:J88)</f>
        <v>0</v>
      </c>
      <c r="K91" s="63">
        <f>SUM(K59:K90)</f>
        <v>520000000</v>
      </c>
      <c r="L91" s="63">
        <f t="shared" ref="L91:Q91" si="102">SUM(L59:L88)</f>
        <v>50000000</v>
      </c>
      <c r="M91" s="63">
        <f t="shared" si="102"/>
        <v>0</v>
      </c>
      <c r="N91" s="63">
        <f t="shared" si="102"/>
        <v>0</v>
      </c>
      <c r="O91" s="63">
        <f t="shared" si="102"/>
        <v>0</v>
      </c>
      <c r="P91" s="63">
        <f t="shared" si="102"/>
        <v>0</v>
      </c>
      <c r="Q91" s="63">
        <f t="shared" si="102"/>
        <v>0</v>
      </c>
      <c r="R91" s="63">
        <f>SUM(R59:R90)</f>
        <v>244000000</v>
      </c>
      <c r="S91" s="63">
        <f>SUM(S59:S90)</f>
        <v>333901442</v>
      </c>
      <c r="T91" s="63">
        <f t="shared" ref="T91:Y91" si="103">SUM(T59:T88)</f>
        <v>0</v>
      </c>
      <c r="U91" s="63">
        <f t="shared" si="103"/>
        <v>0</v>
      </c>
      <c r="V91" s="63">
        <f t="shared" si="103"/>
        <v>0</v>
      </c>
      <c r="W91" s="63">
        <f t="shared" si="103"/>
        <v>0</v>
      </c>
      <c r="X91" s="63">
        <f t="shared" si="103"/>
        <v>0</v>
      </c>
      <c r="Y91" s="63">
        <f t="shared" si="103"/>
        <v>0</v>
      </c>
      <c r="Z91" s="63">
        <f>SUM(Z59:Z90)</f>
        <v>535595799</v>
      </c>
      <c r="AB91" s="43">
        <f t="shared" si="85"/>
        <v>0.79636670340108984</v>
      </c>
      <c r="AC91" s="63">
        <f>SUM(AC59:AC90)</f>
        <v>1340681148</v>
      </c>
      <c r="AD91" s="63"/>
      <c r="AE91" s="63">
        <f t="shared" ref="AE91:AW91" si="104">SUM(AE59:AE90)</f>
        <v>0</v>
      </c>
      <c r="AF91" s="63">
        <f t="shared" si="104"/>
        <v>0</v>
      </c>
      <c r="AG91" s="63">
        <f t="shared" si="104"/>
        <v>0</v>
      </c>
      <c r="AH91" s="63">
        <f t="shared" si="104"/>
        <v>349598967</v>
      </c>
      <c r="AI91" s="63">
        <f t="shared" si="104"/>
        <v>49214507</v>
      </c>
      <c r="AJ91" s="63">
        <f t="shared" si="104"/>
        <v>0</v>
      </c>
      <c r="AK91" s="63">
        <f t="shared" si="104"/>
        <v>0</v>
      </c>
      <c r="AL91" s="63">
        <f t="shared" si="104"/>
        <v>0</v>
      </c>
      <c r="AM91" s="63">
        <f t="shared" si="104"/>
        <v>0</v>
      </c>
      <c r="AN91" s="63">
        <f t="shared" si="104"/>
        <v>0</v>
      </c>
      <c r="AO91" s="63">
        <f t="shared" si="104"/>
        <v>187101991</v>
      </c>
      <c r="AP91" s="63">
        <f t="shared" si="104"/>
        <v>261050876</v>
      </c>
      <c r="AQ91" s="63">
        <f t="shared" si="104"/>
        <v>0</v>
      </c>
      <c r="AR91" s="63">
        <f t="shared" si="104"/>
        <v>0</v>
      </c>
      <c r="AS91" s="63">
        <f t="shared" si="104"/>
        <v>0</v>
      </c>
      <c r="AT91" s="63">
        <f t="shared" si="104"/>
        <v>0</v>
      </c>
      <c r="AU91" s="63">
        <f t="shared" si="104"/>
        <v>0</v>
      </c>
      <c r="AV91" s="63">
        <f t="shared" si="104"/>
        <v>0</v>
      </c>
      <c r="AW91" s="63">
        <f t="shared" si="104"/>
        <v>493714807</v>
      </c>
      <c r="AX91" s="43">
        <f t="shared" si="86"/>
        <v>0.20363329659891016</v>
      </c>
      <c r="AY91" s="63">
        <f>SUM(AY59:AY90)</f>
        <v>342816093</v>
      </c>
      <c r="AZ91" s="63">
        <f t="shared" ref="AZ91:BR91" si="105">SUM(AZ59:AZ90)</f>
        <v>0</v>
      </c>
      <c r="BA91" s="63">
        <f t="shared" si="105"/>
        <v>0</v>
      </c>
      <c r="BB91" s="63">
        <f t="shared" si="105"/>
        <v>0</v>
      </c>
      <c r="BC91" s="63">
        <f t="shared" si="105"/>
        <v>170401033</v>
      </c>
      <c r="BD91" s="63">
        <f t="shared" si="105"/>
        <v>785493</v>
      </c>
      <c r="BE91" s="63">
        <f t="shared" si="105"/>
        <v>0</v>
      </c>
      <c r="BF91" s="63">
        <f t="shared" si="105"/>
        <v>0</v>
      </c>
      <c r="BG91" s="63">
        <f t="shared" si="105"/>
        <v>0</v>
      </c>
      <c r="BH91" s="63">
        <f t="shared" si="105"/>
        <v>0</v>
      </c>
      <c r="BI91" s="63">
        <f t="shared" si="105"/>
        <v>0</v>
      </c>
      <c r="BJ91" s="63">
        <f t="shared" si="105"/>
        <v>56898009</v>
      </c>
      <c r="BK91" s="63">
        <f t="shared" si="105"/>
        <v>72850566</v>
      </c>
      <c r="BL91" s="63">
        <f t="shared" si="105"/>
        <v>0</v>
      </c>
      <c r="BM91" s="63">
        <f t="shared" si="105"/>
        <v>0</v>
      </c>
      <c r="BN91" s="63">
        <f t="shared" si="105"/>
        <v>0</v>
      </c>
      <c r="BO91" s="63">
        <f t="shared" si="105"/>
        <v>0</v>
      </c>
      <c r="BP91" s="63">
        <f t="shared" si="105"/>
        <v>0</v>
      </c>
      <c r="BQ91" s="63">
        <f t="shared" si="105"/>
        <v>0</v>
      </c>
      <c r="BR91" s="63">
        <f t="shared" si="105"/>
        <v>41880992</v>
      </c>
      <c r="BS91" s="43">
        <f t="shared" si="87"/>
        <v>0.73669382449555199</v>
      </c>
      <c r="BT91" s="63">
        <f t="shared" ref="BT91:CJ91" si="106">SUM(BT59:BT90)</f>
        <v>1240222021</v>
      </c>
      <c r="BU91" s="63">
        <f t="shared" si="106"/>
        <v>0</v>
      </c>
      <c r="BV91" s="63">
        <f t="shared" si="106"/>
        <v>0</v>
      </c>
      <c r="BW91" s="63">
        <f t="shared" si="106"/>
        <v>0</v>
      </c>
      <c r="BX91" s="63">
        <f t="shared" si="106"/>
        <v>0</v>
      </c>
      <c r="BY91" s="63">
        <f t="shared" si="106"/>
        <v>310663409</v>
      </c>
      <c r="BZ91" s="63">
        <f t="shared" si="106"/>
        <v>49214507</v>
      </c>
      <c r="CA91" s="63">
        <f t="shared" si="106"/>
        <v>0</v>
      </c>
      <c r="CB91" s="63">
        <f t="shared" si="106"/>
        <v>0</v>
      </c>
      <c r="CC91" s="63">
        <f t="shared" si="106"/>
        <v>0</v>
      </c>
      <c r="CD91" s="63">
        <f t="shared" si="106"/>
        <v>0</v>
      </c>
      <c r="CE91" s="63">
        <f t="shared" si="106"/>
        <v>0</v>
      </c>
      <c r="CF91" s="63">
        <f t="shared" si="106"/>
        <v>185375614</v>
      </c>
      <c r="CG91" s="63">
        <f t="shared" si="106"/>
        <v>247744258</v>
      </c>
      <c r="CH91" s="63">
        <f t="shared" si="106"/>
        <v>0</v>
      </c>
      <c r="CI91" s="63">
        <f t="shared" si="106"/>
        <v>0</v>
      </c>
      <c r="CJ91" s="63">
        <f t="shared" si="106"/>
        <v>0</v>
      </c>
      <c r="CK91" s="63"/>
      <c r="CL91" s="63">
        <f>SUM(CL59:CL90)</f>
        <v>0</v>
      </c>
      <c r="CM91" s="63">
        <f>SUM(CM59:CM90)</f>
        <v>0</v>
      </c>
      <c r="CN91" s="63">
        <f>SUM(CN59:CN90)</f>
        <v>447224233</v>
      </c>
      <c r="CO91" s="43">
        <f t="shared" si="78"/>
        <v>0.26330617550444801</v>
      </c>
      <c r="CP91" s="63">
        <f t="shared" ref="CP91:DI91" si="107">SUM(CP59:CP90)</f>
        <v>443275220</v>
      </c>
      <c r="CQ91" s="63">
        <f t="shared" si="107"/>
        <v>0</v>
      </c>
      <c r="CR91" s="63">
        <f t="shared" si="107"/>
        <v>0</v>
      </c>
      <c r="CS91" s="63">
        <f t="shared" si="107"/>
        <v>0</v>
      </c>
      <c r="CT91" s="63">
        <f t="shared" si="107"/>
        <v>209336591</v>
      </c>
      <c r="CU91" s="63">
        <f t="shared" si="107"/>
        <v>785493</v>
      </c>
      <c r="CV91" s="63">
        <f t="shared" si="107"/>
        <v>0</v>
      </c>
      <c r="CW91" s="63">
        <f t="shared" si="107"/>
        <v>0</v>
      </c>
      <c r="CX91" s="63">
        <f t="shared" si="107"/>
        <v>0</v>
      </c>
      <c r="CY91" s="63">
        <f t="shared" si="107"/>
        <v>0</v>
      </c>
      <c r="CZ91" s="63">
        <f t="shared" si="107"/>
        <v>0</v>
      </c>
      <c r="DA91" s="63">
        <f t="shared" si="107"/>
        <v>58624386</v>
      </c>
      <c r="DB91" s="63">
        <f t="shared" si="107"/>
        <v>86157184</v>
      </c>
      <c r="DC91" s="63">
        <f t="shared" si="107"/>
        <v>0</v>
      </c>
      <c r="DD91" s="63">
        <f t="shared" si="107"/>
        <v>0</v>
      </c>
      <c r="DE91" s="63">
        <f t="shared" si="107"/>
        <v>0</v>
      </c>
      <c r="DF91" s="63">
        <f t="shared" si="107"/>
        <v>0</v>
      </c>
      <c r="DG91" s="63">
        <f t="shared" si="107"/>
        <v>0</v>
      </c>
      <c r="DH91" s="63">
        <f t="shared" si="107"/>
        <v>0</v>
      </c>
      <c r="DI91" s="63">
        <f t="shared" si="107"/>
        <v>88371566</v>
      </c>
      <c r="DK91" s="78" t="s">
        <v>394</v>
      </c>
      <c r="DL91" s="78"/>
      <c r="DM91" s="276">
        <f t="shared" si="98"/>
        <v>1683497241</v>
      </c>
      <c r="DN91" s="277">
        <f t="shared" si="99"/>
        <v>1240222021</v>
      </c>
      <c r="DO91" s="278">
        <f t="shared" si="69"/>
        <v>0.73669382449555199</v>
      </c>
    </row>
    <row r="92" spans="1:119" ht="6" customHeight="1" thickTop="1" x14ac:dyDescent="0.25">
      <c r="B92" s="75"/>
      <c r="C92" s="76"/>
      <c r="D92" s="77"/>
      <c r="E92" s="78"/>
      <c r="F92" s="79"/>
      <c r="G92" s="80"/>
      <c r="H92" s="80"/>
      <c r="I92" s="80"/>
      <c r="J92" s="80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2"/>
      <c r="AB92" s="83"/>
      <c r="AC92" s="84"/>
      <c r="AD92" s="84"/>
      <c r="AE92" s="84"/>
      <c r="AF92" s="84"/>
      <c r="AG92" s="84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6"/>
      <c r="AY92" s="84"/>
      <c r="AZ92" s="84"/>
      <c r="BA92" s="84"/>
      <c r="BB92" s="84"/>
      <c r="BC92" s="87"/>
      <c r="BD92" s="87"/>
      <c r="BE92" s="87"/>
      <c r="BF92" s="87"/>
      <c r="BG92" s="87"/>
      <c r="BH92" s="87"/>
      <c r="BI92" s="87"/>
      <c r="BJ92" s="87"/>
      <c r="BK92" s="87"/>
      <c r="BL92" s="87"/>
      <c r="BM92" s="87"/>
      <c r="BN92" s="87"/>
      <c r="BO92" s="87"/>
      <c r="BP92" s="87"/>
      <c r="BQ92" s="87"/>
      <c r="BR92" s="87"/>
      <c r="BS92" s="86"/>
      <c r="BT92" s="84"/>
      <c r="BU92" s="84"/>
      <c r="BV92" s="84"/>
      <c r="BW92" s="84"/>
      <c r="BX92" s="84"/>
      <c r="BY92" s="85"/>
      <c r="BZ92" s="85"/>
      <c r="CA92" s="85"/>
      <c r="CB92" s="85"/>
      <c r="CC92" s="85"/>
      <c r="CD92" s="85"/>
      <c r="CE92" s="85"/>
      <c r="CF92" s="85"/>
      <c r="CG92" s="85"/>
      <c r="CH92" s="85"/>
      <c r="CI92" s="85"/>
      <c r="CJ92" s="85"/>
      <c r="CK92" s="85"/>
      <c r="CL92" s="85"/>
      <c r="CM92" s="85"/>
      <c r="CN92" s="85"/>
      <c r="CO92" s="86"/>
      <c r="CP92" s="84"/>
      <c r="CQ92" s="84"/>
      <c r="CR92" s="84"/>
      <c r="CS92" s="84"/>
      <c r="CT92" s="87"/>
      <c r="CU92" s="87"/>
      <c r="CV92" s="87"/>
      <c r="CW92" s="87"/>
      <c r="CX92" s="87"/>
      <c r="CY92" s="87"/>
      <c r="CZ92" s="87"/>
      <c r="DA92" s="87"/>
      <c r="DB92" s="87"/>
      <c r="DC92" s="87"/>
      <c r="DD92" s="87"/>
      <c r="DE92" s="87"/>
      <c r="DF92" s="87"/>
      <c r="DG92" s="87"/>
      <c r="DH92" s="87"/>
      <c r="DI92" s="87"/>
      <c r="DK92" s="78"/>
      <c r="DL92" s="78"/>
      <c r="DM92" s="276"/>
      <c r="DN92" s="277"/>
      <c r="DO92" s="278"/>
    </row>
    <row r="93" spans="1:119" s="47" customFormat="1" ht="23.25" hidden="1" customHeight="1" x14ac:dyDescent="0.25">
      <c r="A93" s="203" t="s">
        <v>259</v>
      </c>
      <c r="B93" s="186" t="s">
        <v>260</v>
      </c>
      <c r="C93" s="70" t="s">
        <v>261</v>
      </c>
      <c r="D93" s="22" t="s">
        <v>262</v>
      </c>
      <c r="E93" s="23">
        <v>301</v>
      </c>
      <c r="F93" s="24" t="s">
        <v>263</v>
      </c>
      <c r="G93" s="25">
        <f t="shared" ref="G93:G107" si="108">SUM(H93:Z93)</f>
        <v>82075557</v>
      </c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>
        <f>85000000-2924443</f>
        <v>82075557</v>
      </c>
      <c r="W93" s="25"/>
      <c r="X93" s="25"/>
      <c r="Y93" s="25"/>
      <c r="Z93" s="25"/>
      <c r="AB93" s="27">
        <f t="shared" ref="AB93:AB128" si="109">+AC93/G93</f>
        <v>0.95104883662257689</v>
      </c>
      <c r="AC93" s="25">
        <f t="shared" ref="AC93:AC107" si="110">SUM(AD93:AW93)</f>
        <v>78057863</v>
      </c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>
        <f>+'[1]AGOSTO 2016'!$Z$627</f>
        <v>78057863</v>
      </c>
      <c r="AT93" s="25"/>
      <c r="AU93" s="25"/>
      <c r="AV93" s="25"/>
      <c r="AW93" s="25"/>
      <c r="AX93" s="27">
        <f t="shared" ref="AX93:AX128" si="111">1-AB93</f>
        <v>4.8951163377423113E-2</v>
      </c>
      <c r="AY93" s="25">
        <f t="shared" ref="AY93:AY107" si="112">SUM(AZ93:BR93)</f>
        <v>4017694</v>
      </c>
      <c r="AZ93" s="25">
        <f t="shared" ref="AZ93:BN107" si="113">H93-AE93</f>
        <v>0</v>
      </c>
      <c r="BA93" s="25">
        <f t="shared" si="113"/>
        <v>0</v>
      </c>
      <c r="BB93" s="25">
        <f t="shared" si="113"/>
        <v>0</v>
      </c>
      <c r="BC93" s="25">
        <f t="shared" ref="BC93:BN99" si="114">+K93-AH93</f>
        <v>0</v>
      </c>
      <c r="BD93" s="25">
        <f t="shared" si="114"/>
        <v>0</v>
      </c>
      <c r="BE93" s="25">
        <f t="shared" si="114"/>
        <v>0</v>
      </c>
      <c r="BF93" s="25">
        <f t="shared" si="114"/>
        <v>0</v>
      </c>
      <c r="BG93" s="25">
        <f t="shared" si="114"/>
        <v>0</v>
      </c>
      <c r="BH93" s="25">
        <f t="shared" si="114"/>
        <v>0</v>
      </c>
      <c r="BI93" s="25">
        <f t="shared" si="114"/>
        <v>0</v>
      </c>
      <c r="BJ93" s="25">
        <f t="shared" si="114"/>
        <v>0</v>
      </c>
      <c r="BK93" s="25">
        <f t="shared" si="114"/>
        <v>0</v>
      </c>
      <c r="BL93" s="25">
        <f t="shared" si="114"/>
        <v>0</v>
      </c>
      <c r="BM93" s="25">
        <f t="shared" si="114"/>
        <v>0</v>
      </c>
      <c r="BN93" s="25">
        <f t="shared" si="114"/>
        <v>4017694</v>
      </c>
      <c r="BO93" s="25"/>
      <c r="BP93" s="25"/>
      <c r="BQ93" s="25">
        <f t="shared" ref="BQ93:BQ107" si="115">Y93-AV93</f>
        <v>0</v>
      </c>
      <c r="BR93" s="25">
        <f t="shared" ref="BR93:BR99" si="116">+Z93-AW93</f>
        <v>0</v>
      </c>
      <c r="BS93" s="27">
        <f t="shared" ref="BS93:BS128" si="117">+BT93/G93</f>
        <v>0.33579812318544483</v>
      </c>
      <c r="BT93" s="25">
        <f t="shared" ref="BT93:BT107" si="118">SUM(BU93:CN93)</f>
        <v>27560818</v>
      </c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>
        <f>+'[1]AGOSTO 2016'!$H$625</f>
        <v>27560818</v>
      </c>
      <c r="CK93" s="25"/>
      <c r="CL93" s="25"/>
      <c r="CM93" s="25"/>
      <c r="CN93" s="25"/>
      <c r="CO93" s="27">
        <f t="shared" ref="CO93:CO128" si="119">1-BS93</f>
        <v>0.66420187681455523</v>
      </c>
      <c r="CP93" s="25">
        <f t="shared" ref="CP93:CP107" si="120">SUM(CQ93:DI93)</f>
        <v>54514739</v>
      </c>
      <c r="CQ93" s="25">
        <f t="shared" ref="CQ93:CY107" si="121">H93-BV93</f>
        <v>0</v>
      </c>
      <c r="CR93" s="25">
        <f t="shared" si="121"/>
        <v>0</v>
      </c>
      <c r="CS93" s="25">
        <f t="shared" si="121"/>
        <v>0</v>
      </c>
      <c r="CT93" s="25">
        <f t="shared" si="121"/>
        <v>0</v>
      </c>
      <c r="CU93" s="25">
        <f t="shared" si="121"/>
        <v>0</v>
      </c>
      <c r="CV93" s="25">
        <f t="shared" si="121"/>
        <v>0</v>
      </c>
      <c r="CW93" s="25">
        <f t="shared" ref="CW93:CY98" si="122">+N93-CB93</f>
        <v>0</v>
      </c>
      <c r="CX93" s="25">
        <f t="shared" si="122"/>
        <v>0</v>
      </c>
      <c r="CY93" s="25">
        <f t="shared" si="122"/>
        <v>0</v>
      </c>
      <c r="CZ93" s="25">
        <f t="shared" ref="CZ93:DB107" si="123">Q93-CE93</f>
        <v>0</v>
      </c>
      <c r="DA93" s="25">
        <f t="shared" si="123"/>
        <v>0</v>
      </c>
      <c r="DB93" s="25">
        <f t="shared" si="123"/>
        <v>0</v>
      </c>
      <c r="DC93" s="25">
        <f t="shared" ref="DC93:DE99" si="124">+T93-CH93</f>
        <v>0</v>
      </c>
      <c r="DD93" s="25">
        <f t="shared" si="124"/>
        <v>0</v>
      </c>
      <c r="DE93" s="25">
        <f t="shared" si="124"/>
        <v>54514739</v>
      </c>
      <c r="DF93" s="25"/>
      <c r="DG93" s="25">
        <f t="shared" ref="DG93:DI99" si="125">+X93-CL93</f>
        <v>0</v>
      </c>
      <c r="DH93" s="25">
        <f t="shared" si="125"/>
        <v>0</v>
      </c>
      <c r="DI93" s="25">
        <f t="shared" si="125"/>
        <v>0</v>
      </c>
      <c r="DK93" s="78"/>
      <c r="DL93" s="78"/>
      <c r="DM93" s="276">
        <f t="shared" si="98"/>
        <v>82075557</v>
      </c>
      <c r="DN93" s="277">
        <f t="shared" si="99"/>
        <v>27560818</v>
      </c>
      <c r="DO93" s="278">
        <f t="shared" si="69"/>
        <v>0.33579812318544483</v>
      </c>
    </row>
    <row r="94" spans="1:119" s="47" customFormat="1" ht="27.75" hidden="1" customHeight="1" x14ac:dyDescent="0.25">
      <c r="A94" s="203"/>
      <c r="B94" s="187"/>
      <c r="C94" s="70" t="s">
        <v>264</v>
      </c>
      <c r="D94" s="22" t="s">
        <v>265</v>
      </c>
      <c r="E94" s="23">
        <v>301</v>
      </c>
      <c r="F94" s="24" t="s">
        <v>263</v>
      </c>
      <c r="G94" s="25">
        <f t="shared" si="108"/>
        <v>57924443</v>
      </c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>
        <f>55000000+2924443</f>
        <v>57924443</v>
      </c>
      <c r="W94" s="25"/>
      <c r="X94" s="25"/>
      <c r="Y94" s="25"/>
      <c r="Z94" s="25"/>
      <c r="AB94" s="27">
        <f t="shared" si="109"/>
        <v>0.94951279894050944</v>
      </c>
      <c r="AC94" s="25">
        <f t="shared" si="110"/>
        <v>55000000</v>
      </c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>
        <f>+'[7]JUNIO 2016'!$Z$461</f>
        <v>55000000</v>
      </c>
      <c r="AT94" s="25"/>
      <c r="AU94" s="25"/>
      <c r="AV94" s="25"/>
      <c r="AW94" s="25"/>
      <c r="AX94" s="27">
        <f t="shared" si="111"/>
        <v>5.0487201059490561E-2</v>
      </c>
      <c r="AY94" s="25">
        <f t="shared" si="112"/>
        <v>2924443</v>
      </c>
      <c r="AZ94" s="25">
        <f t="shared" si="113"/>
        <v>0</v>
      </c>
      <c r="BA94" s="25">
        <f t="shared" si="113"/>
        <v>0</v>
      </c>
      <c r="BB94" s="25">
        <f t="shared" si="113"/>
        <v>0</v>
      </c>
      <c r="BC94" s="25">
        <f t="shared" si="114"/>
        <v>0</v>
      </c>
      <c r="BD94" s="25">
        <f t="shared" si="114"/>
        <v>0</v>
      </c>
      <c r="BE94" s="25">
        <f t="shared" si="114"/>
        <v>0</v>
      </c>
      <c r="BF94" s="25">
        <f t="shared" si="114"/>
        <v>0</v>
      </c>
      <c r="BG94" s="25">
        <f t="shared" si="114"/>
        <v>0</v>
      </c>
      <c r="BH94" s="25">
        <f t="shared" si="114"/>
        <v>0</v>
      </c>
      <c r="BI94" s="25">
        <f t="shared" si="114"/>
        <v>0</v>
      </c>
      <c r="BJ94" s="25">
        <f t="shared" si="114"/>
        <v>0</v>
      </c>
      <c r="BK94" s="25">
        <f t="shared" si="114"/>
        <v>0</v>
      </c>
      <c r="BL94" s="25">
        <f t="shared" si="114"/>
        <v>0</v>
      </c>
      <c r="BM94" s="25">
        <f t="shared" si="114"/>
        <v>0</v>
      </c>
      <c r="BN94" s="25">
        <f t="shared" si="114"/>
        <v>2924443</v>
      </c>
      <c r="BO94" s="25"/>
      <c r="BP94" s="25"/>
      <c r="BQ94" s="25">
        <f t="shared" si="115"/>
        <v>0</v>
      </c>
      <c r="BR94" s="25">
        <f t="shared" si="116"/>
        <v>0</v>
      </c>
      <c r="BS94" s="27">
        <f t="shared" si="117"/>
        <v>0.94334160451055182</v>
      </c>
      <c r="BT94" s="25">
        <f t="shared" si="118"/>
        <v>54642537</v>
      </c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>
        <f>+'[1]AGOSTO 2016'!$H$648</f>
        <v>54642537</v>
      </c>
      <c r="CK94" s="25"/>
      <c r="CL94" s="25"/>
      <c r="CM94" s="25"/>
      <c r="CN94" s="25"/>
      <c r="CO94" s="27">
        <f t="shared" si="119"/>
        <v>5.6658395489448177E-2</v>
      </c>
      <c r="CP94" s="25">
        <f t="shared" si="120"/>
        <v>3281906</v>
      </c>
      <c r="CQ94" s="25">
        <f t="shared" si="121"/>
        <v>0</v>
      </c>
      <c r="CR94" s="25">
        <f t="shared" si="121"/>
        <v>0</v>
      </c>
      <c r="CS94" s="25">
        <f t="shared" si="121"/>
        <v>0</v>
      </c>
      <c r="CT94" s="25">
        <f t="shared" si="121"/>
        <v>0</v>
      </c>
      <c r="CU94" s="25">
        <f t="shared" si="121"/>
        <v>0</v>
      </c>
      <c r="CV94" s="25">
        <f t="shared" si="121"/>
        <v>0</v>
      </c>
      <c r="CW94" s="25">
        <f t="shared" si="122"/>
        <v>0</v>
      </c>
      <c r="CX94" s="25">
        <f t="shared" si="122"/>
        <v>0</v>
      </c>
      <c r="CY94" s="25">
        <f t="shared" si="122"/>
        <v>0</v>
      </c>
      <c r="CZ94" s="25">
        <f t="shared" si="123"/>
        <v>0</v>
      </c>
      <c r="DA94" s="25">
        <f t="shared" si="123"/>
        <v>0</v>
      </c>
      <c r="DB94" s="25">
        <f t="shared" si="123"/>
        <v>0</v>
      </c>
      <c r="DC94" s="25">
        <f t="shared" si="124"/>
        <v>0</v>
      </c>
      <c r="DD94" s="25">
        <f t="shared" si="124"/>
        <v>0</v>
      </c>
      <c r="DE94" s="25">
        <f t="shared" si="124"/>
        <v>3281906</v>
      </c>
      <c r="DF94" s="25"/>
      <c r="DG94" s="25">
        <f t="shared" si="125"/>
        <v>0</v>
      </c>
      <c r="DH94" s="25">
        <f t="shared" si="125"/>
        <v>0</v>
      </c>
      <c r="DI94" s="25">
        <f t="shared" si="125"/>
        <v>0</v>
      </c>
      <c r="DK94" s="78"/>
      <c r="DL94" s="78"/>
      <c r="DM94" s="276">
        <f t="shared" si="98"/>
        <v>57924443</v>
      </c>
      <c r="DN94" s="277">
        <f t="shared" si="99"/>
        <v>54642537</v>
      </c>
      <c r="DO94" s="278">
        <f t="shared" si="69"/>
        <v>0.94334160451055182</v>
      </c>
    </row>
    <row r="95" spans="1:119" s="47" customFormat="1" ht="21.75" hidden="1" customHeight="1" x14ac:dyDescent="0.25">
      <c r="A95" s="203"/>
      <c r="B95" s="187"/>
      <c r="C95" s="70" t="s">
        <v>266</v>
      </c>
      <c r="D95" s="22" t="s">
        <v>267</v>
      </c>
      <c r="E95" s="23">
        <v>301</v>
      </c>
      <c r="F95" s="24" t="s">
        <v>263</v>
      </c>
      <c r="G95" s="25">
        <f t="shared" si="108"/>
        <v>38600000</v>
      </c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>
        <f>30000000+8600000</f>
        <v>38600000</v>
      </c>
      <c r="W95" s="25"/>
      <c r="X95" s="25"/>
      <c r="Y95" s="25"/>
      <c r="Z95" s="25"/>
      <c r="AB95" s="27">
        <f t="shared" si="109"/>
        <v>0.76161233160621766</v>
      </c>
      <c r="AC95" s="25">
        <f t="shared" si="110"/>
        <v>29398236</v>
      </c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>
        <f>+'[1]AGOSTO 2016'!$G$665</f>
        <v>29398236</v>
      </c>
      <c r="AT95" s="25"/>
      <c r="AU95" s="25"/>
      <c r="AV95" s="25"/>
      <c r="AW95" s="25"/>
      <c r="AX95" s="27">
        <f t="shared" si="111"/>
        <v>0.23838766839378234</v>
      </c>
      <c r="AY95" s="25">
        <f t="shared" si="112"/>
        <v>9201764</v>
      </c>
      <c r="AZ95" s="25">
        <f t="shared" si="113"/>
        <v>0</v>
      </c>
      <c r="BA95" s="25">
        <f t="shared" si="113"/>
        <v>0</v>
      </c>
      <c r="BB95" s="25">
        <f t="shared" si="113"/>
        <v>0</v>
      </c>
      <c r="BC95" s="25">
        <f t="shared" si="114"/>
        <v>0</v>
      </c>
      <c r="BD95" s="25">
        <f t="shared" si="114"/>
        <v>0</v>
      </c>
      <c r="BE95" s="25">
        <f t="shared" si="114"/>
        <v>0</v>
      </c>
      <c r="BF95" s="25">
        <f t="shared" si="114"/>
        <v>0</v>
      </c>
      <c r="BG95" s="25">
        <f t="shared" si="114"/>
        <v>0</v>
      </c>
      <c r="BH95" s="25">
        <f t="shared" si="114"/>
        <v>0</v>
      </c>
      <c r="BI95" s="25">
        <f t="shared" si="114"/>
        <v>0</v>
      </c>
      <c r="BJ95" s="25">
        <f t="shared" si="114"/>
        <v>0</v>
      </c>
      <c r="BK95" s="25">
        <f t="shared" si="114"/>
        <v>0</v>
      </c>
      <c r="BL95" s="25">
        <f t="shared" si="114"/>
        <v>0</v>
      </c>
      <c r="BM95" s="25">
        <f t="shared" si="114"/>
        <v>0</v>
      </c>
      <c r="BN95" s="25">
        <f t="shared" si="114"/>
        <v>9201764</v>
      </c>
      <c r="BO95" s="25"/>
      <c r="BP95" s="25"/>
      <c r="BQ95" s="25">
        <f t="shared" si="115"/>
        <v>0</v>
      </c>
      <c r="BR95" s="25">
        <f t="shared" si="116"/>
        <v>0</v>
      </c>
      <c r="BS95" s="27">
        <f t="shared" si="117"/>
        <v>0.75817126943005186</v>
      </c>
      <c r="BT95" s="25">
        <f t="shared" si="118"/>
        <v>29265411</v>
      </c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>
        <f>+'[1]AGOSTO 2016'!$H$665</f>
        <v>29265411</v>
      </c>
      <c r="CK95" s="25"/>
      <c r="CL95" s="25"/>
      <c r="CM95" s="25"/>
      <c r="CN95" s="25"/>
      <c r="CO95" s="27">
        <f t="shared" si="119"/>
        <v>0.24182873056994814</v>
      </c>
      <c r="CP95" s="25">
        <f t="shared" si="120"/>
        <v>9334589</v>
      </c>
      <c r="CQ95" s="25">
        <f t="shared" si="121"/>
        <v>0</v>
      </c>
      <c r="CR95" s="25">
        <f t="shared" si="121"/>
        <v>0</v>
      </c>
      <c r="CS95" s="25">
        <f t="shared" si="121"/>
        <v>0</v>
      </c>
      <c r="CT95" s="25">
        <f t="shared" si="121"/>
        <v>0</v>
      </c>
      <c r="CU95" s="25">
        <f t="shared" si="121"/>
        <v>0</v>
      </c>
      <c r="CV95" s="25">
        <f t="shared" si="121"/>
        <v>0</v>
      </c>
      <c r="CW95" s="25">
        <f t="shared" si="122"/>
        <v>0</v>
      </c>
      <c r="CX95" s="25">
        <f t="shared" si="122"/>
        <v>0</v>
      </c>
      <c r="CY95" s="25">
        <f t="shared" si="122"/>
        <v>0</v>
      </c>
      <c r="CZ95" s="25">
        <f t="shared" si="123"/>
        <v>0</v>
      </c>
      <c r="DA95" s="25">
        <f t="shared" si="123"/>
        <v>0</v>
      </c>
      <c r="DB95" s="25">
        <f t="shared" si="123"/>
        <v>0</v>
      </c>
      <c r="DC95" s="25">
        <f t="shared" si="124"/>
        <v>0</v>
      </c>
      <c r="DD95" s="25">
        <f t="shared" si="124"/>
        <v>0</v>
      </c>
      <c r="DE95" s="25">
        <f t="shared" si="124"/>
        <v>9334589</v>
      </c>
      <c r="DF95" s="25"/>
      <c r="DG95" s="25">
        <f t="shared" si="125"/>
        <v>0</v>
      </c>
      <c r="DH95" s="25">
        <f t="shared" si="125"/>
        <v>0</v>
      </c>
      <c r="DI95" s="25">
        <f t="shared" si="125"/>
        <v>0</v>
      </c>
      <c r="DK95" s="78"/>
      <c r="DL95" s="78"/>
      <c r="DM95" s="276">
        <f t="shared" si="98"/>
        <v>38600000</v>
      </c>
      <c r="DN95" s="277">
        <f t="shared" si="99"/>
        <v>29265411</v>
      </c>
      <c r="DO95" s="278">
        <f t="shared" si="69"/>
        <v>0.75817126943005186</v>
      </c>
    </row>
    <row r="96" spans="1:119" ht="35.25" hidden="1" customHeight="1" x14ac:dyDescent="0.25">
      <c r="A96" s="203"/>
      <c r="B96" s="187"/>
      <c r="C96" s="70" t="s">
        <v>268</v>
      </c>
      <c r="D96" s="22" t="s">
        <v>269</v>
      </c>
      <c r="E96" s="23">
        <v>301</v>
      </c>
      <c r="F96" s="24" t="s">
        <v>270</v>
      </c>
      <c r="G96" s="25">
        <f t="shared" si="108"/>
        <v>76000000</v>
      </c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>
        <v>25000000</v>
      </c>
      <c r="W96" s="25"/>
      <c r="X96" s="25"/>
      <c r="Y96" s="25"/>
      <c r="Z96" s="25">
        <f>25000000+1000000+5000000+20000000</f>
        <v>51000000</v>
      </c>
      <c r="AB96" s="27">
        <f t="shared" si="109"/>
        <v>0.28849028947368421</v>
      </c>
      <c r="AC96" s="25">
        <f>SUM(AD96:AW96)</f>
        <v>21925262</v>
      </c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>
        <f>+'[1]AGOSTO 2016'!$Z$680</f>
        <v>2000000</v>
      </c>
      <c r="AT96" s="25"/>
      <c r="AU96" s="25"/>
      <c r="AV96" s="25"/>
      <c r="AW96" s="25">
        <f>+'[1]AGOSTO 2016'!$AG$680</f>
        <v>19925262</v>
      </c>
      <c r="AX96" s="27">
        <f t="shared" si="111"/>
        <v>0.71150971052631573</v>
      </c>
      <c r="AY96" s="25">
        <f t="shared" si="112"/>
        <v>54074738</v>
      </c>
      <c r="AZ96" s="25">
        <f t="shared" si="113"/>
        <v>0</v>
      </c>
      <c r="BA96" s="25">
        <f t="shared" si="113"/>
        <v>0</v>
      </c>
      <c r="BB96" s="25">
        <f t="shared" si="113"/>
        <v>0</v>
      </c>
      <c r="BC96" s="25">
        <f t="shared" si="114"/>
        <v>0</v>
      </c>
      <c r="BD96" s="25">
        <f t="shared" si="114"/>
        <v>0</v>
      </c>
      <c r="BE96" s="25">
        <f t="shared" si="114"/>
        <v>0</v>
      </c>
      <c r="BF96" s="25">
        <f t="shared" si="114"/>
        <v>0</v>
      </c>
      <c r="BG96" s="25">
        <f t="shared" si="114"/>
        <v>0</v>
      </c>
      <c r="BH96" s="25">
        <f t="shared" si="114"/>
        <v>0</v>
      </c>
      <c r="BI96" s="25">
        <f t="shared" si="114"/>
        <v>0</v>
      </c>
      <c r="BJ96" s="25">
        <f t="shared" si="114"/>
        <v>0</v>
      </c>
      <c r="BK96" s="25">
        <f t="shared" si="114"/>
        <v>0</v>
      </c>
      <c r="BL96" s="25">
        <f t="shared" si="114"/>
        <v>0</v>
      </c>
      <c r="BM96" s="25">
        <f t="shared" si="114"/>
        <v>0</v>
      </c>
      <c r="BN96" s="25">
        <f t="shared" si="114"/>
        <v>23000000</v>
      </c>
      <c r="BO96" s="25"/>
      <c r="BP96" s="25"/>
      <c r="BQ96" s="25">
        <f t="shared" si="115"/>
        <v>0</v>
      </c>
      <c r="BR96" s="25">
        <f t="shared" si="116"/>
        <v>31074738</v>
      </c>
      <c r="BS96" s="27">
        <f t="shared" si="117"/>
        <v>0.27531923684210524</v>
      </c>
      <c r="BT96" s="25">
        <f t="shared" si="118"/>
        <v>20924262</v>
      </c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>
        <v>2000000</v>
      </c>
      <c r="CK96" s="25"/>
      <c r="CL96" s="25"/>
      <c r="CM96" s="25"/>
      <c r="CN96" s="25">
        <f>+'[1]AGOSTO 2016'!$H$678-CJ96</f>
        <v>18924262</v>
      </c>
      <c r="CO96" s="27">
        <f t="shared" si="119"/>
        <v>0.72468076315789476</v>
      </c>
      <c r="CP96" s="25">
        <f t="shared" si="120"/>
        <v>55075738</v>
      </c>
      <c r="CQ96" s="25">
        <f t="shared" si="121"/>
        <v>0</v>
      </c>
      <c r="CR96" s="25">
        <f t="shared" si="121"/>
        <v>0</v>
      </c>
      <c r="CS96" s="25">
        <f t="shared" si="121"/>
        <v>0</v>
      </c>
      <c r="CT96" s="25">
        <f t="shared" si="121"/>
        <v>0</v>
      </c>
      <c r="CU96" s="25">
        <f t="shared" si="121"/>
        <v>0</v>
      </c>
      <c r="CV96" s="25">
        <f t="shared" si="121"/>
        <v>0</v>
      </c>
      <c r="CW96" s="25">
        <f t="shared" si="122"/>
        <v>0</v>
      </c>
      <c r="CX96" s="25">
        <f t="shared" si="122"/>
        <v>0</v>
      </c>
      <c r="CY96" s="25">
        <f t="shared" si="122"/>
        <v>0</v>
      </c>
      <c r="CZ96" s="25">
        <f t="shared" si="123"/>
        <v>0</v>
      </c>
      <c r="DA96" s="25">
        <f t="shared" si="123"/>
        <v>0</v>
      </c>
      <c r="DB96" s="25">
        <f t="shared" si="123"/>
        <v>0</v>
      </c>
      <c r="DC96" s="25">
        <f t="shared" si="124"/>
        <v>0</v>
      </c>
      <c r="DD96" s="25">
        <f t="shared" si="124"/>
        <v>0</v>
      </c>
      <c r="DE96" s="25">
        <f t="shared" si="124"/>
        <v>23000000</v>
      </c>
      <c r="DF96" s="25"/>
      <c r="DG96" s="25">
        <f t="shared" si="125"/>
        <v>0</v>
      </c>
      <c r="DH96" s="25">
        <f t="shared" si="125"/>
        <v>0</v>
      </c>
      <c r="DI96" s="25">
        <f t="shared" si="125"/>
        <v>32075738</v>
      </c>
      <c r="DK96" s="78"/>
      <c r="DL96" s="78"/>
      <c r="DM96" s="276">
        <f t="shared" si="98"/>
        <v>76000000</v>
      </c>
      <c r="DN96" s="277">
        <f t="shared" si="99"/>
        <v>20924262</v>
      </c>
      <c r="DO96" s="278">
        <f t="shared" si="69"/>
        <v>0.27531923684210524</v>
      </c>
    </row>
    <row r="97" spans="1:119" ht="33" hidden="1" customHeight="1" x14ac:dyDescent="0.25">
      <c r="A97" s="203"/>
      <c r="B97" s="187"/>
      <c r="C97" s="70" t="s">
        <v>271</v>
      </c>
      <c r="D97" s="22" t="s">
        <v>272</v>
      </c>
      <c r="E97" s="23">
        <v>301</v>
      </c>
      <c r="F97" s="24" t="s">
        <v>263</v>
      </c>
      <c r="G97" s="25">
        <f t="shared" si="108"/>
        <v>34000000</v>
      </c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>
        <v>34000000</v>
      </c>
      <c r="W97" s="25"/>
      <c r="X97" s="25"/>
      <c r="Y97" s="25"/>
      <c r="Z97" s="25"/>
      <c r="AB97" s="27">
        <f t="shared" si="109"/>
        <v>0.99863861764705886</v>
      </c>
      <c r="AC97" s="25">
        <f t="shared" si="110"/>
        <v>33953713</v>
      </c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>
        <f>+'[3]ABRIL 2016'!$Z$347</f>
        <v>33953713</v>
      </c>
      <c r="AT97" s="25"/>
      <c r="AU97" s="25"/>
      <c r="AV97" s="25"/>
      <c r="AW97" s="25"/>
      <c r="AX97" s="27">
        <f t="shared" si="111"/>
        <v>1.3613823529411428E-3</v>
      </c>
      <c r="AY97" s="25">
        <f t="shared" si="112"/>
        <v>46287</v>
      </c>
      <c r="AZ97" s="25">
        <f t="shared" si="113"/>
        <v>0</v>
      </c>
      <c r="BA97" s="25">
        <f t="shared" si="113"/>
        <v>0</v>
      </c>
      <c r="BB97" s="25">
        <f t="shared" si="113"/>
        <v>0</v>
      </c>
      <c r="BC97" s="25">
        <f t="shared" si="114"/>
        <v>0</v>
      </c>
      <c r="BD97" s="25">
        <f t="shared" si="114"/>
        <v>0</v>
      </c>
      <c r="BE97" s="25">
        <f t="shared" si="114"/>
        <v>0</v>
      </c>
      <c r="BF97" s="25">
        <f t="shared" si="114"/>
        <v>0</v>
      </c>
      <c r="BG97" s="25">
        <f t="shared" si="114"/>
        <v>0</v>
      </c>
      <c r="BH97" s="25">
        <f t="shared" si="114"/>
        <v>0</v>
      </c>
      <c r="BI97" s="25">
        <f t="shared" si="114"/>
        <v>0</v>
      </c>
      <c r="BJ97" s="25">
        <f t="shared" si="114"/>
        <v>0</v>
      </c>
      <c r="BK97" s="25">
        <f t="shared" si="114"/>
        <v>0</v>
      </c>
      <c r="BL97" s="25">
        <f t="shared" si="114"/>
        <v>0</v>
      </c>
      <c r="BM97" s="25">
        <f t="shared" si="114"/>
        <v>0</v>
      </c>
      <c r="BN97" s="25">
        <f t="shared" si="114"/>
        <v>46287</v>
      </c>
      <c r="BO97" s="25"/>
      <c r="BP97" s="25"/>
      <c r="BQ97" s="25">
        <f t="shared" si="115"/>
        <v>0</v>
      </c>
      <c r="BR97" s="25">
        <f t="shared" si="116"/>
        <v>0</v>
      </c>
      <c r="BS97" s="27">
        <f t="shared" si="117"/>
        <v>0.99650888235294122</v>
      </c>
      <c r="BT97" s="25">
        <f t="shared" si="118"/>
        <v>33881302</v>
      </c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>
        <f>+'[8]MAYO 2016'!$H$416</f>
        <v>33881302</v>
      </c>
      <c r="CK97" s="25"/>
      <c r="CL97" s="25"/>
      <c r="CM97" s="25"/>
      <c r="CN97" s="25"/>
      <c r="CO97" s="27">
        <f t="shared" si="119"/>
        <v>3.4911176470587835E-3</v>
      </c>
      <c r="CP97" s="25">
        <f t="shared" si="120"/>
        <v>118698</v>
      </c>
      <c r="CQ97" s="25">
        <f t="shared" si="121"/>
        <v>0</v>
      </c>
      <c r="CR97" s="25">
        <f t="shared" si="121"/>
        <v>0</v>
      </c>
      <c r="CS97" s="25">
        <f t="shared" si="121"/>
        <v>0</v>
      </c>
      <c r="CT97" s="25">
        <f t="shared" si="121"/>
        <v>0</v>
      </c>
      <c r="CU97" s="25">
        <f t="shared" si="121"/>
        <v>0</v>
      </c>
      <c r="CV97" s="25">
        <f t="shared" si="121"/>
        <v>0</v>
      </c>
      <c r="CW97" s="25">
        <f t="shared" si="122"/>
        <v>0</v>
      </c>
      <c r="CX97" s="25">
        <f t="shared" si="122"/>
        <v>0</v>
      </c>
      <c r="CY97" s="25">
        <f t="shared" si="122"/>
        <v>0</v>
      </c>
      <c r="CZ97" s="25">
        <f t="shared" si="123"/>
        <v>0</v>
      </c>
      <c r="DA97" s="25">
        <f t="shared" si="123"/>
        <v>0</v>
      </c>
      <c r="DB97" s="25">
        <f t="shared" si="123"/>
        <v>0</v>
      </c>
      <c r="DC97" s="25">
        <f t="shared" si="124"/>
        <v>0</v>
      </c>
      <c r="DD97" s="25">
        <f t="shared" si="124"/>
        <v>0</v>
      </c>
      <c r="DE97" s="25">
        <f t="shared" si="124"/>
        <v>118698</v>
      </c>
      <c r="DF97" s="25"/>
      <c r="DG97" s="25">
        <f t="shared" si="125"/>
        <v>0</v>
      </c>
      <c r="DH97" s="25">
        <f t="shared" si="125"/>
        <v>0</v>
      </c>
      <c r="DI97" s="25">
        <f t="shared" si="125"/>
        <v>0</v>
      </c>
      <c r="DK97" s="78"/>
      <c r="DL97" s="78"/>
      <c r="DM97" s="276">
        <f t="shared" si="98"/>
        <v>34000000</v>
      </c>
      <c r="DN97" s="277">
        <f t="shared" si="99"/>
        <v>33881302</v>
      </c>
      <c r="DO97" s="278">
        <f t="shared" si="69"/>
        <v>0.99650888235294122</v>
      </c>
    </row>
    <row r="98" spans="1:119" ht="27.75" hidden="1" customHeight="1" x14ac:dyDescent="0.25">
      <c r="A98" s="203"/>
      <c r="B98" s="187"/>
      <c r="C98" s="70" t="s">
        <v>273</v>
      </c>
      <c r="D98" s="22" t="s">
        <v>274</v>
      </c>
      <c r="E98" s="23">
        <v>301</v>
      </c>
      <c r="F98" s="24" t="s">
        <v>186</v>
      </c>
      <c r="G98" s="25">
        <f t="shared" si="108"/>
        <v>113185104</v>
      </c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>
        <f>53185104</f>
        <v>53185104</v>
      </c>
      <c r="V98" s="25">
        <v>60000000</v>
      </c>
      <c r="W98" s="25"/>
      <c r="X98" s="25"/>
      <c r="Y98" s="25"/>
      <c r="Z98" s="25"/>
      <c r="AB98" s="27">
        <f t="shared" si="109"/>
        <v>0.53010509227433322</v>
      </c>
      <c r="AC98" s="25">
        <f t="shared" si="110"/>
        <v>60000000</v>
      </c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>
        <f>+'[4]ENERO 2016'!$Z$180</f>
        <v>60000000</v>
      </c>
      <c r="AT98" s="25"/>
      <c r="AU98" s="25"/>
      <c r="AV98" s="25"/>
      <c r="AW98" s="25"/>
      <c r="AX98" s="27">
        <f t="shared" si="111"/>
        <v>0.46989490772566678</v>
      </c>
      <c r="AY98" s="25">
        <f t="shared" si="112"/>
        <v>53185104</v>
      </c>
      <c r="AZ98" s="25">
        <f t="shared" si="113"/>
        <v>0</v>
      </c>
      <c r="BA98" s="25">
        <f t="shared" si="113"/>
        <v>0</v>
      </c>
      <c r="BB98" s="25">
        <f t="shared" si="113"/>
        <v>0</v>
      </c>
      <c r="BC98" s="25">
        <f t="shared" si="114"/>
        <v>0</v>
      </c>
      <c r="BD98" s="25">
        <f t="shared" si="114"/>
        <v>0</v>
      </c>
      <c r="BE98" s="25">
        <f t="shared" si="114"/>
        <v>0</v>
      </c>
      <c r="BF98" s="25">
        <f t="shared" si="114"/>
        <v>0</v>
      </c>
      <c r="BG98" s="25">
        <f t="shared" si="114"/>
        <v>0</v>
      </c>
      <c r="BH98" s="25">
        <f t="shared" si="114"/>
        <v>0</v>
      </c>
      <c r="BI98" s="25">
        <f t="shared" si="114"/>
        <v>0</v>
      </c>
      <c r="BJ98" s="25">
        <f t="shared" si="114"/>
        <v>0</v>
      </c>
      <c r="BK98" s="25">
        <f t="shared" si="114"/>
        <v>0</v>
      </c>
      <c r="BL98" s="25">
        <f t="shared" si="114"/>
        <v>0</v>
      </c>
      <c r="BM98" s="25">
        <f t="shared" si="114"/>
        <v>53185104</v>
      </c>
      <c r="BN98" s="25">
        <f t="shared" si="114"/>
        <v>0</v>
      </c>
      <c r="BO98" s="25"/>
      <c r="BP98" s="25"/>
      <c r="BQ98" s="25">
        <f t="shared" si="115"/>
        <v>0</v>
      </c>
      <c r="BR98" s="25">
        <f t="shared" si="116"/>
        <v>0</v>
      </c>
      <c r="BS98" s="27">
        <f t="shared" si="117"/>
        <v>0.49969884729707897</v>
      </c>
      <c r="BT98" s="25">
        <f t="shared" si="118"/>
        <v>56558466</v>
      </c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>
        <f>+'[1]AGOSTO 2016'!$H$714</f>
        <v>56558466</v>
      </c>
      <c r="CK98" s="25"/>
      <c r="CL98" s="25"/>
      <c r="CM98" s="25"/>
      <c r="CN98" s="25"/>
      <c r="CO98" s="27">
        <f t="shared" si="119"/>
        <v>0.50030115270292108</v>
      </c>
      <c r="CP98" s="25">
        <f t="shared" si="120"/>
        <v>56626638</v>
      </c>
      <c r="CQ98" s="25">
        <f t="shared" si="121"/>
        <v>0</v>
      </c>
      <c r="CR98" s="25">
        <f t="shared" si="121"/>
        <v>0</v>
      </c>
      <c r="CS98" s="25">
        <f t="shared" si="121"/>
        <v>0</v>
      </c>
      <c r="CT98" s="25">
        <f t="shared" si="121"/>
        <v>0</v>
      </c>
      <c r="CU98" s="25">
        <f t="shared" si="121"/>
        <v>0</v>
      </c>
      <c r="CV98" s="25">
        <f t="shared" si="121"/>
        <v>0</v>
      </c>
      <c r="CW98" s="25">
        <f t="shared" si="122"/>
        <v>0</v>
      </c>
      <c r="CX98" s="25">
        <f t="shared" si="122"/>
        <v>0</v>
      </c>
      <c r="CY98" s="25">
        <f t="shared" si="122"/>
        <v>0</v>
      </c>
      <c r="CZ98" s="25">
        <f t="shared" si="123"/>
        <v>0</v>
      </c>
      <c r="DA98" s="25">
        <f t="shared" si="123"/>
        <v>0</v>
      </c>
      <c r="DB98" s="25">
        <f t="shared" si="123"/>
        <v>0</v>
      </c>
      <c r="DC98" s="25">
        <f t="shared" si="124"/>
        <v>0</v>
      </c>
      <c r="DD98" s="25">
        <f t="shared" si="124"/>
        <v>53185104</v>
      </c>
      <c r="DE98" s="25">
        <f t="shared" si="124"/>
        <v>3441534</v>
      </c>
      <c r="DF98" s="25"/>
      <c r="DG98" s="25">
        <f t="shared" si="125"/>
        <v>0</v>
      </c>
      <c r="DH98" s="25">
        <f t="shared" si="125"/>
        <v>0</v>
      </c>
      <c r="DI98" s="25">
        <f t="shared" si="125"/>
        <v>0</v>
      </c>
      <c r="DK98" s="78"/>
      <c r="DL98" s="78"/>
      <c r="DM98" s="276">
        <f t="shared" si="98"/>
        <v>113185104</v>
      </c>
      <c r="DN98" s="277">
        <f t="shared" si="99"/>
        <v>56558466</v>
      </c>
      <c r="DO98" s="278">
        <f t="shared" si="69"/>
        <v>0.49969884729707897</v>
      </c>
    </row>
    <row r="99" spans="1:119" ht="21" hidden="1" customHeight="1" x14ac:dyDescent="0.25">
      <c r="A99" s="203"/>
      <c r="B99" s="187"/>
      <c r="C99" s="70" t="s">
        <v>275</v>
      </c>
      <c r="D99" s="22" t="s">
        <v>276</v>
      </c>
      <c r="E99" s="23">
        <v>301</v>
      </c>
      <c r="F99" s="24" t="s">
        <v>277</v>
      </c>
      <c r="G99" s="25">
        <f t="shared" si="108"/>
        <v>20000000</v>
      </c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>
        <v>20000000</v>
      </c>
      <c r="W99" s="25"/>
      <c r="X99" s="25"/>
      <c r="Y99" s="25"/>
      <c r="Z99" s="25"/>
      <c r="AB99" s="27">
        <f t="shared" si="109"/>
        <v>0</v>
      </c>
      <c r="AC99" s="25">
        <f t="shared" si="110"/>
        <v>0</v>
      </c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7">
        <f t="shared" si="111"/>
        <v>1</v>
      </c>
      <c r="AY99" s="25">
        <f t="shared" si="112"/>
        <v>20000000</v>
      </c>
      <c r="AZ99" s="25">
        <f t="shared" si="113"/>
        <v>0</v>
      </c>
      <c r="BA99" s="25">
        <f t="shared" si="113"/>
        <v>0</v>
      </c>
      <c r="BB99" s="25">
        <f t="shared" si="113"/>
        <v>0</v>
      </c>
      <c r="BC99" s="25">
        <f t="shared" si="114"/>
        <v>0</v>
      </c>
      <c r="BD99" s="25">
        <f t="shared" si="114"/>
        <v>0</v>
      </c>
      <c r="BE99" s="25">
        <f t="shared" si="114"/>
        <v>0</v>
      </c>
      <c r="BF99" s="25">
        <f t="shared" si="114"/>
        <v>0</v>
      </c>
      <c r="BG99" s="25">
        <f t="shared" si="114"/>
        <v>0</v>
      </c>
      <c r="BH99" s="25">
        <f t="shared" si="114"/>
        <v>0</v>
      </c>
      <c r="BI99" s="25">
        <f t="shared" si="114"/>
        <v>0</v>
      </c>
      <c r="BJ99" s="25">
        <f t="shared" si="114"/>
        <v>0</v>
      </c>
      <c r="BK99" s="25">
        <f t="shared" si="114"/>
        <v>0</v>
      </c>
      <c r="BL99" s="25">
        <f t="shared" si="114"/>
        <v>0</v>
      </c>
      <c r="BM99" s="25">
        <f t="shared" si="114"/>
        <v>0</v>
      </c>
      <c r="BN99" s="25">
        <f t="shared" si="114"/>
        <v>20000000</v>
      </c>
      <c r="BO99" s="25"/>
      <c r="BP99" s="25"/>
      <c r="BQ99" s="25">
        <f t="shared" si="115"/>
        <v>0</v>
      </c>
      <c r="BR99" s="25">
        <f t="shared" si="116"/>
        <v>0</v>
      </c>
      <c r="BS99" s="27">
        <f t="shared" si="117"/>
        <v>0</v>
      </c>
      <c r="BT99" s="25">
        <f t="shared" si="118"/>
        <v>0</v>
      </c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7">
        <f t="shared" si="119"/>
        <v>1</v>
      </c>
      <c r="CP99" s="25">
        <f t="shared" si="120"/>
        <v>20000000</v>
      </c>
      <c r="CQ99" s="25">
        <f t="shared" si="121"/>
        <v>0</v>
      </c>
      <c r="CR99" s="25">
        <f t="shared" si="121"/>
        <v>0</v>
      </c>
      <c r="CS99" s="25">
        <f t="shared" si="121"/>
        <v>0</v>
      </c>
      <c r="CT99" s="25">
        <f t="shared" si="121"/>
        <v>0</v>
      </c>
      <c r="CU99" s="25">
        <f t="shared" si="121"/>
        <v>0</v>
      </c>
      <c r="CV99" s="25">
        <f t="shared" si="121"/>
        <v>0</v>
      </c>
      <c r="CW99" s="25">
        <f t="shared" si="121"/>
        <v>0</v>
      </c>
      <c r="CX99" s="25">
        <f t="shared" si="121"/>
        <v>0</v>
      </c>
      <c r="CY99" s="25">
        <f t="shared" si="121"/>
        <v>0</v>
      </c>
      <c r="CZ99" s="25">
        <f t="shared" si="123"/>
        <v>0</v>
      </c>
      <c r="DA99" s="25">
        <f t="shared" si="123"/>
        <v>0</v>
      </c>
      <c r="DB99" s="25">
        <f t="shared" si="123"/>
        <v>0</v>
      </c>
      <c r="DC99" s="25">
        <f t="shared" si="124"/>
        <v>0</v>
      </c>
      <c r="DD99" s="25">
        <f t="shared" si="124"/>
        <v>0</v>
      </c>
      <c r="DE99" s="25">
        <f t="shared" si="124"/>
        <v>20000000</v>
      </c>
      <c r="DF99" s="25"/>
      <c r="DG99" s="25">
        <f t="shared" si="125"/>
        <v>0</v>
      </c>
      <c r="DH99" s="25">
        <f t="shared" si="125"/>
        <v>0</v>
      </c>
      <c r="DI99" s="25">
        <f t="shared" si="125"/>
        <v>0</v>
      </c>
      <c r="DK99" s="78"/>
      <c r="DL99" s="78"/>
      <c r="DM99" s="276">
        <f t="shared" si="98"/>
        <v>20000000</v>
      </c>
      <c r="DN99" s="277">
        <f t="shared" si="99"/>
        <v>0</v>
      </c>
      <c r="DO99" s="278">
        <f t="shared" si="69"/>
        <v>0</v>
      </c>
    </row>
    <row r="100" spans="1:119" ht="32.25" hidden="1" customHeight="1" x14ac:dyDescent="0.25">
      <c r="A100" s="203"/>
      <c r="B100" s="188"/>
      <c r="C100" s="70" t="s">
        <v>278</v>
      </c>
      <c r="D100" s="22" t="s">
        <v>279</v>
      </c>
      <c r="E100" s="23">
        <v>301</v>
      </c>
      <c r="F100" s="24" t="s">
        <v>263</v>
      </c>
      <c r="G100" s="25">
        <f t="shared" si="108"/>
        <v>26000000</v>
      </c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>
        <v>26000000</v>
      </c>
      <c r="W100" s="25"/>
      <c r="X100" s="25"/>
      <c r="Y100" s="25"/>
      <c r="Z100" s="25"/>
      <c r="AB100" s="27">
        <f t="shared" si="109"/>
        <v>1</v>
      </c>
      <c r="AC100" s="25">
        <f t="shared" si="110"/>
        <v>26000000</v>
      </c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>
        <f>+'[4]ENERO 2016'!$Z$190</f>
        <v>26000000</v>
      </c>
      <c r="AT100" s="25"/>
      <c r="AU100" s="25"/>
      <c r="AV100" s="25"/>
      <c r="AW100" s="25"/>
      <c r="AX100" s="27">
        <f t="shared" si="111"/>
        <v>0</v>
      </c>
      <c r="AY100" s="25">
        <f t="shared" si="112"/>
        <v>0</v>
      </c>
      <c r="AZ100" s="25">
        <f t="shared" si="113"/>
        <v>0</v>
      </c>
      <c r="BA100" s="25">
        <f t="shared" si="113"/>
        <v>0</v>
      </c>
      <c r="BB100" s="25">
        <f t="shared" si="113"/>
        <v>0</v>
      </c>
      <c r="BC100" s="25">
        <f t="shared" si="113"/>
        <v>0</v>
      </c>
      <c r="BD100" s="25">
        <f t="shared" si="113"/>
        <v>0</v>
      </c>
      <c r="BE100" s="25">
        <f t="shared" si="113"/>
        <v>0</v>
      </c>
      <c r="BF100" s="25">
        <f t="shared" si="113"/>
        <v>0</v>
      </c>
      <c r="BG100" s="25">
        <f t="shared" si="113"/>
        <v>0</v>
      </c>
      <c r="BH100" s="25">
        <f t="shared" si="113"/>
        <v>0</v>
      </c>
      <c r="BI100" s="25">
        <f t="shared" si="113"/>
        <v>0</v>
      </c>
      <c r="BJ100" s="25">
        <f t="shared" si="113"/>
        <v>0</v>
      </c>
      <c r="BK100" s="25">
        <f t="shared" si="113"/>
        <v>0</v>
      </c>
      <c r="BL100" s="25">
        <f t="shared" si="113"/>
        <v>0</v>
      </c>
      <c r="BM100" s="25">
        <f t="shared" si="113"/>
        <v>0</v>
      </c>
      <c r="BN100" s="25">
        <f t="shared" si="113"/>
        <v>0</v>
      </c>
      <c r="BO100" s="25"/>
      <c r="BP100" s="25">
        <f>X100-AU100</f>
        <v>0</v>
      </c>
      <c r="BQ100" s="25">
        <f t="shared" si="115"/>
        <v>0</v>
      </c>
      <c r="BR100" s="25">
        <f>Z100-AW100</f>
        <v>0</v>
      </c>
      <c r="BS100" s="27">
        <f t="shared" si="117"/>
        <v>0.76782453846153842</v>
      </c>
      <c r="BT100" s="25">
        <f t="shared" si="118"/>
        <v>19963438</v>
      </c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>
        <f>+'[1]AGOSTO 2016'!$H$744</f>
        <v>19963438</v>
      </c>
      <c r="CK100" s="25"/>
      <c r="CL100" s="25"/>
      <c r="CM100" s="25"/>
      <c r="CN100" s="25"/>
      <c r="CO100" s="27">
        <f t="shared" si="119"/>
        <v>0.23217546153846158</v>
      </c>
      <c r="CP100" s="25">
        <f t="shared" si="120"/>
        <v>6036562</v>
      </c>
      <c r="CQ100" s="25">
        <f t="shared" si="121"/>
        <v>0</v>
      </c>
      <c r="CR100" s="25">
        <f t="shared" si="121"/>
        <v>0</v>
      </c>
      <c r="CS100" s="25">
        <f t="shared" si="121"/>
        <v>0</v>
      </c>
      <c r="CT100" s="25">
        <f t="shared" si="121"/>
        <v>0</v>
      </c>
      <c r="CU100" s="25">
        <f t="shared" si="121"/>
        <v>0</v>
      </c>
      <c r="CV100" s="25">
        <f t="shared" si="121"/>
        <v>0</v>
      </c>
      <c r="CW100" s="25">
        <f t="shared" si="121"/>
        <v>0</v>
      </c>
      <c r="CX100" s="25">
        <f t="shared" si="121"/>
        <v>0</v>
      </c>
      <c r="CY100" s="25">
        <f t="shared" si="121"/>
        <v>0</v>
      </c>
      <c r="CZ100" s="25">
        <f t="shared" si="123"/>
        <v>0</v>
      </c>
      <c r="DA100" s="25">
        <f t="shared" si="123"/>
        <v>0</v>
      </c>
      <c r="DB100" s="25">
        <f t="shared" si="123"/>
        <v>0</v>
      </c>
      <c r="DC100" s="25">
        <f>T100-CH100</f>
        <v>0</v>
      </c>
      <c r="DD100" s="25">
        <f>U100-CI100</f>
        <v>0</v>
      </c>
      <c r="DE100" s="25">
        <f>V100-CJ100</f>
        <v>6036562</v>
      </c>
      <c r="DF100" s="25"/>
      <c r="DG100" s="25">
        <f>X100-CL100</f>
        <v>0</v>
      </c>
      <c r="DH100" s="25">
        <f>Y100-CM100</f>
        <v>0</v>
      </c>
      <c r="DI100" s="25">
        <f>Z100-CN100</f>
        <v>0</v>
      </c>
      <c r="DK100" s="78"/>
      <c r="DL100" s="78"/>
      <c r="DM100" s="276">
        <f t="shared" si="98"/>
        <v>26000000</v>
      </c>
      <c r="DN100" s="277">
        <f t="shared" si="99"/>
        <v>19963438</v>
      </c>
      <c r="DO100" s="278">
        <f t="shared" si="69"/>
        <v>0.76782453846153842</v>
      </c>
    </row>
    <row r="101" spans="1:119" ht="33" hidden="1" customHeight="1" x14ac:dyDescent="0.25">
      <c r="A101" s="203"/>
      <c r="B101" s="153" t="s">
        <v>280</v>
      </c>
      <c r="C101" s="89" t="s">
        <v>281</v>
      </c>
      <c r="D101" s="22" t="s">
        <v>282</v>
      </c>
      <c r="E101" s="154">
        <v>301</v>
      </c>
      <c r="F101" s="24" t="s">
        <v>283</v>
      </c>
      <c r="G101" s="25">
        <f t="shared" si="108"/>
        <v>323000000</v>
      </c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>
        <v>322000000</v>
      </c>
      <c r="W101" s="25"/>
      <c r="X101" s="25"/>
      <c r="Y101" s="25"/>
      <c r="Z101" s="25">
        <f>1000000</f>
        <v>1000000</v>
      </c>
      <c r="AB101" s="27">
        <f t="shared" si="109"/>
        <v>0.98060521362229103</v>
      </c>
      <c r="AC101" s="25">
        <f t="shared" si="110"/>
        <v>316735484</v>
      </c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>
        <f>+'[1]AGOSTO 2016'!$Z$755</f>
        <v>316735484</v>
      </c>
      <c r="AT101" s="25"/>
      <c r="AU101" s="25"/>
      <c r="AV101" s="25"/>
      <c r="AW101" s="25"/>
      <c r="AX101" s="27">
        <f t="shared" si="111"/>
        <v>1.9394786377708972E-2</v>
      </c>
      <c r="AY101" s="25">
        <f t="shared" si="112"/>
        <v>6264516</v>
      </c>
      <c r="AZ101" s="25">
        <f t="shared" si="113"/>
        <v>0</v>
      </c>
      <c r="BA101" s="25">
        <f t="shared" si="113"/>
        <v>0</v>
      </c>
      <c r="BB101" s="25">
        <f t="shared" si="113"/>
        <v>0</v>
      </c>
      <c r="BC101" s="25">
        <f t="shared" ref="BC101:BN107" si="126">+K101-AH101</f>
        <v>0</v>
      </c>
      <c r="BD101" s="25">
        <f t="shared" si="126"/>
        <v>0</v>
      </c>
      <c r="BE101" s="25">
        <f t="shared" si="126"/>
        <v>0</v>
      </c>
      <c r="BF101" s="25">
        <f t="shared" si="126"/>
        <v>0</v>
      </c>
      <c r="BG101" s="25">
        <f t="shared" si="126"/>
        <v>0</v>
      </c>
      <c r="BH101" s="25">
        <f t="shared" si="126"/>
        <v>0</v>
      </c>
      <c r="BI101" s="25">
        <f t="shared" si="126"/>
        <v>0</v>
      </c>
      <c r="BJ101" s="25">
        <f t="shared" si="126"/>
        <v>0</v>
      </c>
      <c r="BK101" s="25">
        <f t="shared" si="126"/>
        <v>0</v>
      </c>
      <c r="BL101" s="25">
        <f t="shared" si="126"/>
        <v>0</v>
      </c>
      <c r="BM101" s="25">
        <f t="shared" si="126"/>
        <v>0</v>
      </c>
      <c r="BN101" s="25">
        <f t="shared" si="126"/>
        <v>5264516</v>
      </c>
      <c r="BO101" s="25"/>
      <c r="BP101" s="25"/>
      <c r="BQ101" s="25">
        <f t="shared" si="115"/>
        <v>0</v>
      </c>
      <c r="BR101" s="25">
        <f t="shared" ref="BR101:BR107" si="127">+Z101-AW101</f>
        <v>1000000</v>
      </c>
      <c r="BS101" s="27">
        <f t="shared" si="117"/>
        <v>0.96997916099071202</v>
      </c>
      <c r="BT101" s="25">
        <f t="shared" si="118"/>
        <v>313303269</v>
      </c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>
        <f>+'[1]AGOSTO 2016'!$H$753</f>
        <v>313303269</v>
      </c>
      <c r="CK101" s="25"/>
      <c r="CL101" s="25"/>
      <c r="CM101" s="25"/>
      <c r="CN101" s="25"/>
      <c r="CO101" s="27">
        <f t="shared" si="119"/>
        <v>3.0020839009287981E-2</v>
      </c>
      <c r="CP101" s="25">
        <f t="shared" si="120"/>
        <v>9696731</v>
      </c>
      <c r="CQ101" s="25">
        <f t="shared" si="121"/>
        <v>0</v>
      </c>
      <c r="CR101" s="25">
        <f t="shared" si="121"/>
        <v>0</v>
      </c>
      <c r="CS101" s="25">
        <f t="shared" si="121"/>
        <v>0</v>
      </c>
      <c r="CT101" s="25">
        <f t="shared" si="121"/>
        <v>0</v>
      </c>
      <c r="CU101" s="25">
        <f t="shared" si="121"/>
        <v>0</v>
      </c>
      <c r="CV101" s="25">
        <f t="shared" si="121"/>
        <v>0</v>
      </c>
      <c r="CW101" s="25">
        <f t="shared" ref="CW101:CX107" si="128">+N101-CB101</f>
        <v>0</v>
      </c>
      <c r="CX101" s="25">
        <f t="shared" si="128"/>
        <v>0</v>
      </c>
      <c r="CY101" s="25">
        <f t="shared" si="121"/>
        <v>0</v>
      </c>
      <c r="CZ101" s="25">
        <f t="shared" si="123"/>
        <v>0</v>
      </c>
      <c r="DA101" s="25">
        <f t="shared" si="123"/>
        <v>0</v>
      </c>
      <c r="DB101" s="25">
        <f t="shared" si="123"/>
        <v>0</v>
      </c>
      <c r="DC101" s="25">
        <f t="shared" ref="DC101:DE107" si="129">+T101-CH101</f>
        <v>0</v>
      </c>
      <c r="DD101" s="25">
        <f t="shared" si="129"/>
        <v>0</v>
      </c>
      <c r="DE101" s="25">
        <f t="shared" si="129"/>
        <v>8696731</v>
      </c>
      <c r="DF101" s="25"/>
      <c r="DG101" s="25">
        <f t="shared" ref="DG101:DI107" si="130">+X101-CL101</f>
        <v>0</v>
      </c>
      <c r="DH101" s="25">
        <f t="shared" si="130"/>
        <v>0</v>
      </c>
      <c r="DI101" s="25">
        <f t="shared" si="130"/>
        <v>1000000</v>
      </c>
      <c r="DK101" s="78"/>
      <c r="DL101" s="78"/>
      <c r="DM101" s="276">
        <f t="shared" si="98"/>
        <v>323000000</v>
      </c>
      <c r="DN101" s="277">
        <f t="shared" si="99"/>
        <v>313303269</v>
      </c>
      <c r="DO101" s="278">
        <f t="shared" si="69"/>
        <v>0.96997916099071202</v>
      </c>
    </row>
    <row r="102" spans="1:119" ht="54.75" hidden="1" customHeight="1" x14ac:dyDescent="0.25">
      <c r="A102" s="203"/>
      <c r="B102" s="90" t="s">
        <v>284</v>
      </c>
      <c r="C102" s="70" t="s">
        <v>285</v>
      </c>
      <c r="D102" s="22" t="s">
        <v>286</v>
      </c>
      <c r="E102" s="23">
        <v>301</v>
      </c>
      <c r="F102" s="24" t="s">
        <v>287</v>
      </c>
      <c r="G102" s="25">
        <f t="shared" si="108"/>
        <v>325425485</v>
      </c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>
        <v>316000000</v>
      </c>
      <c r="W102" s="25"/>
      <c r="X102" s="25"/>
      <c r="Y102" s="25"/>
      <c r="Z102" s="25">
        <f>6000000+1000000+2425485</f>
        <v>9425485</v>
      </c>
      <c r="AB102" s="27">
        <f t="shared" si="109"/>
        <v>0.54134846568639206</v>
      </c>
      <c r="AC102" s="25">
        <f t="shared" si="110"/>
        <v>176168587</v>
      </c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>
        <f>+'[1]AGOSTO 2016'!$Z$812</f>
        <v>170043102</v>
      </c>
      <c r="AT102" s="25"/>
      <c r="AU102" s="25"/>
      <c r="AV102" s="25"/>
      <c r="AW102" s="25">
        <f>+'[1]AGOSTO 2016'!$AG$812</f>
        <v>6125485</v>
      </c>
      <c r="AX102" s="27">
        <f t="shared" si="111"/>
        <v>0.45865153431360794</v>
      </c>
      <c r="AY102" s="25">
        <f t="shared" si="112"/>
        <v>149256898</v>
      </c>
      <c r="AZ102" s="25">
        <f t="shared" si="113"/>
        <v>0</v>
      </c>
      <c r="BA102" s="25">
        <f t="shared" si="113"/>
        <v>0</v>
      </c>
      <c r="BB102" s="25">
        <f t="shared" si="113"/>
        <v>0</v>
      </c>
      <c r="BC102" s="25">
        <f t="shared" si="126"/>
        <v>0</v>
      </c>
      <c r="BD102" s="25">
        <f t="shared" si="126"/>
        <v>0</v>
      </c>
      <c r="BE102" s="25">
        <f t="shared" si="126"/>
        <v>0</v>
      </c>
      <c r="BF102" s="25">
        <f t="shared" si="126"/>
        <v>0</v>
      </c>
      <c r="BG102" s="25">
        <f t="shared" si="126"/>
        <v>0</v>
      </c>
      <c r="BH102" s="25">
        <f t="shared" si="126"/>
        <v>0</v>
      </c>
      <c r="BI102" s="25">
        <f t="shared" si="126"/>
        <v>0</v>
      </c>
      <c r="BJ102" s="25">
        <f t="shared" si="126"/>
        <v>0</v>
      </c>
      <c r="BK102" s="25">
        <f t="shared" si="126"/>
        <v>0</v>
      </c>
      <c r="BL102" s="25">
        <f t="shared" si="126"/>
        <v>0</v>
      </c>
      <c r="BM102" s="25">
        <f t="shared" si="126"/>
        <v>0</v>
      </c>
      <c r="BN102" s="25">
        <f t="shared" si="126"/>
        <v>145956898</v>
      </c>
      <c r="BO102" s="25"/>
      <c r="BP102" s="25"/>
      <c r="BQ102" s="25">
        <f t="shared" si="115"/>
        <v>0</v>
      </c>
      <c r="BR102" s="25">
        <f t="shared" si="127"/>
        <v>3300000</v>
      </c>
      <c r="BS102" s="27">
        <f t="shared" si="117"/>
        <v>0.53700639641053316</v>
      </c>
      <c r="BT102" s="25">
        <f t="shared" si="118"/>
        <v>174755567</v>
      </c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>
        <f>+'[1]AGOSTO 2016'!$H$810-CN102</f>
        <v>168723602</v>
      </c>
      <c r="CK102" s="25"/>
      <c r="CL102" s="25"/>
      <c r="CM102" s="25"/>
      <c r="CN102" s="25">
        <f>+'[1]AGOSTO 2016'!$H$864+'[1]AGOSTO 2016'!$H$850+'[1]AGOSTO 2016'!$H$840+'[1]AGOSTO 2016'!$H$831+'[1]AGOSTO 2016'!$H$830</f>
        <v>6031965</v>
      </c>
      <c r="CO102" s="27">
        <f t="shared" si="119"/>
        <v>0.46299360358946684</v>
      </c>
      <c r="CP102" s="25">
        <f t="shared" si="120"/>
        <v>150669918</v>
      </c>
      <c r="CQ102" s="25">
        <f t="shared" si="121"/>
        <v>0</v>
      </c>
      <c r="CR102" s="25">
        <f t="shared" si="121"/>
        <v>0</v>
      </c>
      <c r="CS102" s="25">
        <f t="shared" si="121"/>
        <v>0</v>
      </c>
      <c r="CT102" s="25">
        <f t="shared" si="121"/>
        <v>0</v>
      </c>
      <c r="CU102" s="25">
        <f t="shared" si="121"/>
        <v>0</v>
      </c>
      <c r="CV102" s="25">
        <f t="shared" si="121"/>
        <v>0</v>
      </c>
      <c r="CW102" s="25">
        <f t="shared" si="128"/>
        <v>0</v>
      </c>
      <c r="CX102" s="25">
        <f t="shared" si="128"/>
        <v>0</v>
      </c>
      <c r="CY102" s="25">
        <f t="shared" si="121"/>
        <v>0</v>
      </c>
      <c r="CZ102" s="25">
        <f t="shared" si="123"/>
        <v>0</v>
      </c>
      <c r="DA102" s="25">
        <f t="shared" si="123"/>
        <v>0</v>
      </c>
      <c r="DB102" s="25">
        <f t="shared" si="123"/>
        <v>0</v>
      </c>
      <c r="DC102" s="25">
        <f t="shared" si="129"/>
        <v>0</v>
      </c>
      <c r="DD102" s="25">
        <f t="shared" si="129"/>
        <v>0</v>
      </c>
      <c r="DE102" s="25">
        <f t="shared" si="129"/>
        <v>147276398</v>
      </c>
      <c r="DF102" s="25"/>
      <c r="DG102" s="25">
        <f t="shared" si="130"/>
        <v>0</v>
      </c>
      <c r="DH102" s="25">
        <f t="shared" si="130"/>
        <v>0</v>
      </c>
      <c r="DI102" s="25">
        <f t="shared" si="130"/>
        <v>3393520</v>
      </c>
      <c r="DK102" s="78"/>
      <c r="DL102" s="78"/>
      <c r="DM102" s="276">
        <f t="shared" si="98"/>
        <v>325425485</v>
      </c>
      <c r="DN102" s="277">
        <f t="shared" si="99"/>
        <v>174755567</v>
      </c>
      <c r="DO102" s="278">
        <f t="shared" si="69"/>
        <v>0.53700639641053316</v>
      </c>
    </row>
    <row r="103" spans="1:119" ht="42" hidden="1" customHeight="1" x14ac:dyDescent="0.25">
      <c r="A103" s="203"/>
      <c r="B103" s="90" t="s">
        <v>288</v>
      </c>
      <c r="C103" s="70" t="s">
        <v>289</v>
      </c>
      <c r="D103" s="22" t="s">
        <v>290</v>
      </c>
      <c r="E103" s="23">
        <v>301</v>
      </c>
      <c r="F103" s="24" t="s">
        <v>291</v>
      </c>
      <c r="G103" s="25">
        <f t="shared" si="108"/>
        <v>46255066</v>
      </c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>
        <f>67000000-30600000</f>
        <v>36400000</v>
      </c>
      <c r="W103" s="25"/>
      <c r="X103" s="25"/>
      <c r="Y103" s="25"/>
      <c r="Z103" s="25">
        <f>2000000+2682410+1000000+257590+3915066</f>
        <v>9855066</v>
      </c>
      <c r="AB103" s="27">
        <f t="shared" si="109"/>
        <v>0.4198459040140598</v>
      </c>
      <c r="AC103" s="25">
        <f t="shared" si="110"/>
        <v>19420000</v>
      </c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>
        <f>+'[7]JUNIO 2016'!$Z$626</f>
        <v>17580000</v>
      </c>
      <c r="AT103" s="25"/>
      <c r="AU103" s="25"/>
      <c r="AV103" s="25"/>
      <c r="AW103" s="25">
        <f>+'[7]JUNIO 2016'!$AG$626</f>
        <v>1840000</v>
      </c>
      <c r="AX103" s="27">
        <f t="shared" si="111"/>
        <v>0.58015409598594014</v>
      </c>
      <c r="AY103" s="25">
        <f t="shared" si="112"/>
        <v>26835066</v>
      </c>
      <c r="AZ103" s="25">
        <f t="shared" si="113"/>
        <v>0</v>
      </c>
      <c r="BA103" s="25">
        <f t="shared" si="113"/>
        <v>0</v>
      </c>
      <c r="BB103" s="25">
        <f t="shared" si="113"/>
        <v>0</v>
      </c>
      <c r="BC103" s="25">
        <f t="shared" si="126"/>
        <v>0</v>
      </c>
      <c r="BD103" s="25">
        <f t="shared" si="126"/>
        <v>0</v>
      </c>
      <c r="BE103" s="25">
        <f t="shared" si="126"/>
        <v>0</v>
      </c>
      <c r="BF103" s="25">
        <f t="shared" si="126"/>
        <v>0</v>
      </c>
      <c r="BG103" s="25">
        <f t="shared" si="126"/>
        <v>0</v>
      </c>
      <c r="BH103" s="25">
        <f t="shared" si="126"/>
        <v>0</v>
      </c>
      <c r="BI103" s="25">
        <f t="shared" si="126"/>
        <v>0</v>
      </c>
      <c r="BJ103" s="25">
        <f t="shared" si="126"/>
        <v>0</v>
      </c>
      <c r="BK103" s="25">
        <f t="shared" si="126"/>
        <v>0</v>
      </c>
      <c r="BL103" s="25">
        <f t="shared" si="126"/>
        <v>0</v>
      </c>
      <c r="BM103" s="25">
        <f t="shared" si="126"/>
        <v>0</v>
      </c>
      <c r="BN103" s="25">
        <f t="shared" si="126"/>
        <v>18820000</v>
      </c>
      <c r="BO103" s="25"/>
      <c r="BP103" s="25"/>
      <c r="BQ103" s="25">
        <f t="shared" si="115"/>
        <v>0</v>
      </c>
      <c r="BR103" s="25">
        <f t="shared" si="127"/>
        <v>8015066</v>
      </c>
      <c r="BS103" s="27">
        <f t="shared" si="117"/>
        <v>0.4198459040140598</v>
      </c>
      <c r="BT103" s="25">
        <f t="shared" si="118"/>
        <v>19420000</v>
      </c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>
        <f>+'[7]JUNIO 2016'!$H$629</f>
        <v>17580000</v>
      </c>
      <c r="CK103" s="25"/>
      <c r="CL103" s="25"/>
      <c r="CM103" s="25"/>
      <c r="CN103" s="25">
        <f>+'[7]JUNIO 2016'!$H$627+'[7]JUNIO 2016'!$H$628+'[7]JUNIO 2016'!$H$631</f>
        <v>1840000</v>
      </c>
      <c r="CO103" s="27">
        <f t="shared" si="119"/>
        <v>0.58015409598594014</v>
      </c>
      <c r="CP103" s="25">
        <f t="shared" si="120"/>
        <v>26835066</v>
      </c>
      <c r="CQ103" s="25">
        <f t="shared" si="121"/>
        <v>0</v>
      </c>
      <c r="CR103" s="25">
        <f t="shared" si="121"/>
        <v>0</v>
      </c>
      <c r="CS103" s="25">
        <f t="shared" si="121"/>
        <v>0</v>
      </c>
      <c r="CT103" s="25">
        <f t="shared" si="121"/>
        <v>0</v>
      </c>
      <c r="CU103" s="25">
        <f t="shared" si="121"/>
        <v>0</v>
      </c>
      <c r="CV103" s="25">
        <f t="shared" si="121"/>
        <v>0</v>
      </c>
      <c r="CW103" s="25">
        <f t="shared" si="128"/>
        <v>0</v>
      </c>
      <c r="CX103" s="25">
        <f t="shared" si="128"/>
        <v>0</v>
      </c>
      <c r="CY103" s="25">
        <f t="shared" si="121"/>
        <v>0</v>
      </c>
      <c r="CZ103" s="25">
        <f t="shared" si="123"/>
        <v>0</v>
      </c>
      <c r="DA103" s="25">
        <f t="shared" si="123"/>
        <v>0</v>
      </c>
      <c r="DB103" s="25">
        <f t="shared" si="123"/>
        <v>0</v>
      </c>
      <c r="DC103" s="25">
        <f t="shared" si="129"/>
        <v>0</v>
      </c>
      <c r="DD103" s="25">
        <f t="shared" si="129"/>
        <v>0</v>
      </c>
      <c r="DE103" s="25">
        <f t="shared" si="129"/>
        <v>18820000</v>
      </c>
      <c r="DF103" s="25"/>
      <c r="DG103" s="25">
        <f t="shared" si="130"/>
        <v>0</v>
      </c>
      <c r="DH103" s="25">
        <f t="shared" si="130"/>
        <v>0</v>
      </c>
      <c r="DI103" s="25">
        <f t="shared" si="130"/>
        <v>8015066</v>
      </c>
      <c r="DK103" s="78"/>
      <c r="DL103" s="78"/>
      <c r="DM103" s="276">
        <f t="shared" si="98"/>
        <v>46255066</v>
      </c>
      <c r="DN103" s="277">
        <f t="shared" si="99"/>
        <v>19420000</v>
      </c>
      <c r="DO103" s="278">
        <f t="shared" si="69"/>
        <v>0.4198459040140598</v>
      </c>
    </row>
    <row r="104" spans="1:119" ht="33" hidden="1" customHeight="1" x14ac:dyDescent="0.25">
      <c r="A104" s="203"/>
      <c r="B104" s="186" t="s">
        <v>292</v>
      </c>
      <c r="C104" s="70" t="s">
        <v>293</v>
      </c>
      <c r="D104" s="22" t="s">
        <v>294</v>
      </c>
      <c r="E104" s="23">
        <v>301</v>
      </c>
      <c r="F104" s="24" t="s">
        <v>263</v>
      </c>
      <c r="G104" s="25">
        <f t="shared" si="108"/>
        <v>1294000000</v>
      </c>
      <c r="H104" s="25">
        <v>200000000</v>
      </c>
      <c r="I104" s="25">
        <v>268168096</v>
      </c>
      <c r="J104" s="25"/>
      <c r="K104" s="25">
        <v>701280247</v>
      </c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>
        <f>102551657+22000000</f>
        <v>124551657</v>
      </c>
      <c r="W104" s="25"/>
      <c r="X104" s="25"/>
      <c r="Y104" s="25"/>
      <c r="Z104" s="25"/>
      <c r="AB104" s="27">
        <f t="shared" si="109"/>
        <v>0.98299845440494593</v>
      </c>
      <c r="AC104" s="25">
        <f t="shared" si="110"/>
        <v>1272000000</v>
      </c>
      <c r="AD104" s="25"/>
      <c r="AE104" s="25">
        <f>+'[4]ENERO 2016'!$K$218</f>
        <v>200000000</v>
      </c>
      <c r="AF104" s="25">
        <f>+'[4]ENERO 2016'!$M$218</f>
        <v>268168096</v>
      </c>
      <c r="AG104" s="25"/>
      <c r="AH104" s="25">
        <f>+'[4]ENERO 2016'!$O$218</f>
        <v>701280247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>
        <f>+'[4]ENERO 2016'!$Z$218</f>
        <v>102551657</v>
      </c>
      <c r="AT104" s="25"/>
      <c r="AU104" s="25"/>
      <c r="AV104" s="25"/>
      <c r="AW104" s="25"/>
      <c r="AX104" s="27">
        <f t="shared" si="111"/>
        <v>1.7001545595054068E-2</v>
      </c>
      <c r="AY104" s="25">
        <f t="shared" si="112"/>
        <v>22000000</v>
      </c>
      <c r="AZ104" s="25">
        <f t="shared" si="113"/>
        <v>0</v>
      </c>
      <c r="BA104" s="25">
        <f t="shared" si="113"/>
        <v>0</v>
      </c>
      <c r="BB104" s="25">
        <f t="shared" si="113"/>
        <v>0</v>
      </c>
      <c r="BC104" s="25">
        <f t="shared" si="126"/>
        <v>0</v>
      </c>
      <c r="BD104" s="25">
        <f t="shared" si="126"/>
        <v>0</v>
      </c>
      <c r="BE104" s="25">
        <f t="shared" si="126"/>
        <v>0</v>
      </c>
      <c r="BF104" s="25">
        <f t="shared" si="126"/>
        <v>0</v>
      </c>
      <c r="BG104" s="25">
        <f t="shared" si="126"/>
        <v>0</v>
      </c>
      <c r="BH104" s="25">
        <f t="shared" si="126"/>
        <v>0</v>
      </c>
      <c r="BI104" s="25">
        <f t="shared" si="126"/>
        <v>0</v>
      </c>
      <c r="BJ104" s="25">
        <f t="shared" si="126"/>
        <v>0</v>
      </c>
      <c r="BK104" s="25">
        <f t="shared" si="126"/>
        <v>0</v>
      </c>
      <c r="BL104" s="25">
        <f t="shared" si="126"/>
        <v>0</v>
      </c>
      <c r="BM104" s="25">
        <f t="shared" si="126"/>
        <v>0</v>
      </c>
      <c r="BN104" s="25">
        <f t="shared" si="126"/>
        <v>22000000</v>
      </c>
      <c r="BO104" s="25"/>
      <c r="BP104" s="25"/>
      <c r="BQ104" s="25">
        <f t="shared" si="115"/>
        <v>0</v>
      </c>
      <c r="BR104" s="25">
        <f t="shared" si="127"/>
        <v>0</v>
      </c>
      <c r="BS104" s="27">
        <f t="shared" si="117"/>
        <v>0.981768271251932</v>
      </c>
      <c r="BT104" s="25">
        <f t="shared" si="118"/>
        <v>1270408143</v>
      </c>
      <c r="BU104" s="25"/>
      <c r="BV104" s="25">
        <f>+'[1]AGOSTO 2016'!$H$881</f>
        <v>198408143</v>
      </c>
      <c r="BW104" s="25">
        <v>268168096</v>
      </c>
      <c r="BX104" s="25"/>
      <c r="BY104" s="25">
        <v>701280247</v>
      </c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>
        <v>102551657</v>
      </c>
      <c r="CK104" s="25"/>
      <c r="CL104" s="25"/>
      <c r="CM104" s="25"/>
      <c r="CN104" s="25"/>
      <c r="CO104" s="27">
        <f t="shared" si="119"/>
        <v>1.8231728748067999E-2</v>
      </c>
      <c r="CP104" s="25">
        <f t="shared" si="120"/>
        <v>23591857</v>
      </c>
      <c r="CQ104" s="25">
        <f t="shared" si="121"/>
        <v>1591857</v>
      </c>
      <c r="CR104" s="25">
        <f t="shared" si="121"/>
        <v>0</v>
      </c>
      <c r="CS104" s="25">
        <f t="shared" si="121"/>
        <v>0</v>
      </c>
      <c r="CT104" s="25">
        <f t="shared" si="121"/>
        <v>0</v>
      </c>
      <c r="CU104" s="25">
        <f t="shared" si="121"/>
        <v>0</v>
      </c>
      <c r="CV104" s="25">
        <f t="shared" si="121"/>
        <v>0</v>
      </c>
      <c r="CW104" s="25">
        <f t="shared" si="128"/>
        <v>0</v>
      </c>
      <c r="CX104" s="25">
        <f t="shared" si="128"/>
        <v>0</v>
      </c>
      <c r="CY104" s="25">
        <f t="shared" si="121"/>
        <v>0</v>
      </c>
      <c r="CZ104" s="25">
        <f t="shared" si="123"/>
        <v>0</v>
      </c>
      <c r="DA104" s="25">
        <f t="shared" si="123"/>
        <v>0</v>
      </c>
      <c r="DB104" s="25">
        <f t="shared" si="123"/>
        <v>0</v>
      </c>
      <c r="DC104" s="25">
        <f t="shared" si="129"/>
        <v>0</v>
      </c>
      <c r="DD104" s="25">
        <f t="shared" si="129"/>
        <v>0</v>
      </c>
      <c r="DE104" s="25">
        <f t="shared" si="129"/>
        <v>22000000</v>
      </c>
      <c r="DF104" s="25"/>
      <c r="DG104" s="25">
        <f t="shared" si="130"/>
        <v>0</v>
      </c>
      <c r="DH104" s="25">
        <f t="shared" si="130"/>
        <v>0</v>
      </c>
      <c r="DI104" s="25">
        <f t="shared" si="130"/>
        <v>0</v>
      </c>
      <c r="DK104" s="78"/>
      <c r="DL104" s="78"/>
      <c r="DM104" s="276">
        <f t="shared" si="98"/>
        <v>1294000000</v>
      </c>
      <c r="DN104" s="277">
        <f t="shared" si="99"/>
        <v>1270408143</v>
      </c>
      <c r="DO104" s="278">
        <f t="shared" si="69"/>
        <v>0.981768271251932</v>
      </c>
    </row>
    <row r="105" spans="1:119" ht="47.25" hidden="1" customHeight="1" x14ac:dyDescent="0.25">
      <c r="A105" s="203"/>
      <c r="B105" s="187"/>
      <c r="C105" s="70" t="s">
        <v>295</v>
      </c>
      <c r="D105" s="22" t="s">
        <v>296</v>
      </c>
      <c r="E105" s="23">
        <v>301</v>
      </c>
      <c r="F105" s="24" t="s">
        <v>263</v>
      </c>
      <c r="G105" s="25">
        <f t="shared" si="108"/>
        <v>20000000</v>
      </c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>
        <v>20000000</v>
      </c>
      <c r="W105" s="25"/>
      <c r="X105" s="25"/>
      <c r="Y105" s="25"/>
      <c r="Z105" s="25"/>
      <c r="AB105" s="27">
        <f t="shared" si="109"/>
        <v>1</v>
      </c>
      <c r="AC105" s="25">
        <f t="shared" si="110"/>
        <v>20000000</v>
      </c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>
        <f>+'[4]ENERO 2016'!$Z$227</f>
        <v>20000000</v>
      </c>
      <c r="AT105" s="25"/>
      <c r="AU105" s="25"/>
      <c r="AV105" s="25"/>
      <c r="AW105" s="25"/>
      <c r="AX105" s="27">
        <f t="shared" si="111"/>
        <v>0</v>
      </c>
      <c r="AY105" s="25">
        <f t="shared" si="112"/>
        <v>0</v>
      </c>
      <c r="AZ105" s="25">
        <f t="shared" si="113"/>
        <v>0</v>
      </c>
      <c r="BA105" s="25">
        <f t="shared" si="113"/>
        <v>0</v>
      </c>
      <c r="BB105" s="25">
        <f t="shared" si="113"/>
        <v>0</v>
      </c>
      <c r="BC105" s="25">
        <f t="shared" si="126"/>
        <v>0</v>
      </c>
      <c r="BD105" s="25">
        <f t="shared" si="126"/>
        <v>0</v>
      </c>
      <c r="BE105" s="25">
        <f t="shared" si="126"/>
        <v>0</v>
      </c>
      <c r="BF105" s="25">
        <f t="shared" si="126"/>
        <v>0</v>
      </c>
      <c r="BG105" s="25">
        <f t="shared" si="126"/>
        <v>0</v>
      </c>
      <c r="BH105" s="25">
        <f t="shared" si="126"/>
        <v>0</v>
      </c>
      <c r="BI105" s="25">
        <f t="shared" si="126"/>
        <v>0</v>
      </c>
      <c r="BJ105" s="25">
        <f t="shared" si="126"/>
        <v>0</v>
      </c>
      <c r="BK105" s="25">
        <f t="shared" si="126"/>
        <v>0</v>
      </c>
      <c r="BL105" s="25">
        <f t="shared" si="126"/>
        <v>0</v>
      </c>
      <c r="BM105" s="25">
        <f t="shared" si="126"/>
        <v>0</v>
      </c>
      <c r="BN105" s="25">
        <f t="shared" si="126"/>
        <v>0</v>
      </c>
      <c r="BO105" s="25"/>
      <c r="BP105" s="25"/>
      <c r="BQ105" s="25">
        <f t="shared" si="115"/>
        <v>0</v>
      </c>
      <c r="BR105" s="25">
        <f t="shared" si="127"/>
        <v>0</v>
      </c>
      <c r="BS105" s="27">
        <f t="shared" si="117"/>
        <v>0.95945619999999998</v>
      </c>
      <c r="BT105" s="25">
        <f t="shared" si="118"/>
        <v>19189124</v>
      </c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>
        <f>+'[1]AGOSTO 2016'!$H$899</f>
        <v>19189124</v>
      </c>
      <c r="CK105" s="25"/>
      <c r="CL105" s="25"/>
      <c r="CM105" s="25"/>
      <c r="CN105" s="25"/>
      <c r="CO105" s="27">
        <f t="shared" si="119"/>
        <v>4.0543800000000019E-2</v>
      </c>
      <c r="CP105" s="25">
        <f t="shared" si="120"/>
        <v>810876</v>
      </c>
      <c r="CQ105" s="25">
        <f t="shared" si="121"/>
        <v>0</v>
      </c>
      <c r="CR105" s="25">
        <f t="shared" si="121"/>
        <v>0</v>
      </c>
      <c r="CS105" s="25">
        <f t="shared" si="121"/>
        <v>0</v>
      </c>
      <c r="CT105" s="25">
        <f t="shared" si="121"/>
        <v>0</v>
      </c>
      <c r="CU105" s="25">
        <f t="shared" si="121"/>
        <v>0</v>
      </c>
      <c r="CV105" s="25">
        <f t="shared" si="121"/>
        <v>0</v>
      </c>
      <c r="CW105" s="25">
        <f t="shared" si="128"/>
        <v>0</v>
      </c>
      <c r="CX105" s="25">
        <f t="shared" si="128"/>
        <v>0</v>
      </c>
      <c r="CY105" s="25">
        <f t="shared" si="121"/>
        <v>0</v>
      </c>
      <c r="CZ105" s="25">
        <f t="shared" si="123"/>
        <v>0</v>
      </c>
      <c r="DA105" s="25">
        <f t="shared" si="123"/>
        <v>0</v>
      </c>
      <c r="DB105" s="25">
        <f t="shared" si="123"/>
        <v>0</v>
      </c>
      <c r="DC105" s="25">
        <f t="shared" si="129"/>
        <v>0</v>
      </c>
      <c r="DD105" s="25">
        <f t="shared" si="129"/>
        <v>0</v>
      </c>
      <c r="DE105" s="25">
        <f t="shared" si="129"/>
        <v>810876</v>
      </c>
      <c r="DF105" s="25"/>
      <c r="DG105" s="25">
        <f t="shared" si="130"/>
        <v>0</v>
      </c>
      <c r="DH105" s="25">
        <f t="shared" si="130"/>
        <v>0</v>
      </c>
      <c r="DI105" s="25">
        <f t="shared" si="130"/>
        <v>0</v>
      </c>
      <c r="DK105" s="78"/>
      <c r="DL105" s="78"/>
      <c r="DM105" s="276">
        <f t="shared" si="98"/>
        <v>20000000</v>
      </c>
      <c r="DN105" s="277">
        <f t="shared" si="99"/>
        <v>19189124</v>
      </c>
      <c r="DO105" s="278">
        <f t="shared" si="69"/>
        <v>0.95945619999999998</v>
      </c>
    </row>
    <row r="106" spans="1:119" ht="35.25" hidden="1" customHeight="1" x14ac:dyDescent="0.25">
      <c r="A106" s="203"/>
      <c r="B106" s="188"/>
      <c r="C106" s="70" t="s">
        <v>297</v>
      </c>
      <c r="D106" s="22" t="s">
        <v>298</v>
      </c>
      <c r="E106" s="91">
        <v>301</v>
      </c>
      <c r="F106" s="24" t="s">
        <v>263</v>
      </c>
      <c r="G106" s="25">
        <f t="shared" si="108"/>
        <v>100000000</v>
      </c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>
        <v>100000000</v>
      </c>
      <c r="W106" s="25"/>
      <c r="X106" s="25"/>
      <c r="Y106" s="25"/>
      <c r="Z106" s="25"/>
      <c r="AB106" s="27">
        <f t="shared" si="109"/>
        <v>1</v>
      </c>
      <c r="AC106" s="25">
        <f t="shared" si="110"/>
        <v>100000000</v>
      </c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>
        <f>+'[3]ABRIL 2016'!$Z$480</f>
        <v>100000000</v>
      </c>
      <c r="AT106" s="25"/>
      <c r="AU106" s="25"/>
      <c r="AV106" s="25"/>
      <c r="AW106" s="25"/>
      <c r="AX106" s="27">
        <f t="shared" si="111"/>
        <v>0</v>
      </c>
      <c r="AY106" s="25">
        <f t="shared" si="112"/>
        <v>0</v>
      </c>
      <c r="AZ106" s="25">
        <f t="shared" si="113"/>
        <v>0</v>
      </c>
      <c r="BA106" s="25">
        <f t="shared" si="113"/>
        <v>0</v>
      </c>
      <c r="BB106" s="25">
        <f t="shared" si="113"/>
        <v>0</v>
      </c>
      <c r="BC106" s="25">
        <f t="shared" si="126"/>
        <v>0</v>
      </c>
      <c r="BD106" s="25">
        <f t="shared" si="126"/>
        <v>0</v>
      </c>
      <c r="BE106" s="25">
        <f t="shared" si="126"/>
        <v>0</v>
      </c>
      <c r="BF106" s="25">
        <f t="shared" si="126"/>
        <v>0</v>
      </c>
      <c r="BG106" s="25">
        <f t="shared" si="126"/>
        <v>0</v>
      </c>
      <c r="BH106" s="25">
        <f t="shared" si="126"/>
        <v>0</v>
      </c>
      <c r="BI106" s="25">
        <f t="shared" si="126"/>
        <v>0</v>
      </c>
      <c r="BJ106" s="25">
        <f t="shared" si="126"/>
        <v>0</v>
      </c>
      <c r="BK106" s="25">
        <f t="shared" si="126"/>
        <v>0</v>
      </c>
      <c r="BL106" s="25">
        <f t="shared" si="126"/>
        <v>0</v>
      </c>
      <c r="BM106" s="25">
        <f t="shared" si="126"/>
        <v>0</v>
      </c>
      <c r="BN106" s="25">
        <f t="shared" si="126"/>
        <v>0</v>
      </c>
      <c r="BO106" s="25"/>
      <c r="BP106" s="25"/>
      <c r="BQ106" s="25">
        <f t="shared" si="115"/>
        <v>0</v>
      </c>
      <c r="BR106" s="25">
        <f t="shared" si="127"/>
        <v>0</v>
      </c>
      <c r="BS106" s="27">
        <f t="shared" si="117"/>
        <v>0.79999646000000002</v>
      </c>
      <c r="BT106" s="25">
        <f t="shared" si="118"/>
        <v>79999646</v>
      </c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>
        <f>+'[1]AGOSTO 2016'!$H$904</f>
        <v>79999646</v>
      </c>
      <c r="CK106" s="25"/>
      <c r="CL106" s="25"/>
      <c r="CM106" s="25"/>
      <c r="CN106" s="25"/>
      <c r="CO106" s="27">
        <f t="shared" si="119"/>
        <v>0.20000353999999998</v>
      </c>
      <c r="CP106" s="25">
        <f t="shared" si="120"/>
        <v>20000354</v>
      </c>
      <c r="CQ106" s="25">
        <f t="shared" si="121"/>
        <v>0</v>
      </c>
      <c r="CR106" s="25">
        <f t="shared" si="121"/>
        <v>0</v>
      </c>
      <c r="CS106" s="25">
        <f t="shared" si="121"/>
        <v>0</v>
      </c>
      <c r="CT106" s="25">
        <f t="shared" si="121"/>
        <v>0</v>
      </c>
      <c r="CU106" s="25">
        <f t="shared" si="121"/>
        <v>0</v>
      </c>
      <c r="CV106" s="25">
        <f t="shared" si="121"/>
        <v>0</v>
      </c>
      <c r="CW106" s="25">
        <f t="shared" si="128"/>
        <v>0</v>
      </c>
      <c r="CX106" s="25">
        <f t="shared" si="128"/>
        <v>0</v>
      </c>
      <c r="CY106" s="25">
        <f t="shared" si="121"/>
        <v>0</v>
      </c>
      <c r="CZ106" s="25">
        <f t="shared" si="123"/>
        <v>0</v>
      </c>
      <c r="DA106" s="25">
        <f t="shared" si="123"/>
        <v>0</v>
      </c>
      <c r="DB106" s="25">
        <f t="shared" si="123"/>
        <v>0</v>
      </c>
      <c r="DC106" s="25">
        <f t="shared" si="129"/>
        <v>0</v>
      </c>
      <c r="DD106" s="25">
        <f t="shared" si="129"/>
        <v>0</v>
      </c>
      <c r="DE106" s="25">
        <f t="shared" si="129"/>
        <v>20000354</v>
      </c>
      <c r="DF106" s="25"/>
      <c r="DG106" s="25">
        <f t="shared" si="130"/>
        <v>0</v>
      </c>
      <c r="DH106" s="25">
        <f t="shared" si="130"/>
        <v>0</v>
      </c>
      <c r="DI106" s="25">
        <f t="shared" si="130"/>
        <v>0</v>
      </c>
      <c r="DK106" s="78"/>
      <c r="DL106" s="78"/>
      <c r="DM106" s="276">
        <f t="shared" si="98"/>
        <v>100000000</v>
      </c>
      <c r="DN106" s="277">
        <f t="shared" si="99"/>
        <v>79999646</v>
      </c>
      <c r="DO106" s="278">
        <f t="shared" si="69"/>
        <v>0.79999646000000002</v>
      </c>
    </row>
    <row r="107" spans="1:119" ht="46.5" hidden="1" customHeight="1" x14ac:dyDescent="0.25">
      <c r="A107" s="203"/>
      <c r="B107" s="90" t="s">
        <v>299</v>
      </c>
      <c r="C107" s="70" t="s">
        <v>300</v>
      </c>
      <c r="D107" s="22" t="s">
        <v>301</v>
      </c>
      <c r="E107" s="91">
        <v>301</v>
      </c>
      <c r="F107" s="24" t="s">
        <v>263</v>
      </c>
      <c r="G107" s="25">
        <f t="shared" si="108"/>
        <v>50000000</v>
      </c>
      <c r="H107" s="25"/>
      <c r="I107" s="25">
        <f>50000000-50000000</f>
        <v>0</v>
      </c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>
        <f>21264791+28735209</f>
        <v>50000000</v>
      </c>
      <c r="V107" s="25"/>
      <c r="W107" s="25"/>
      <c r="X107" s="25"/>
      <c r="Y107" s="25"/>
      <c r="Z107" s="25"/>
      <c r="AB107" s="27">
        <f t="shared" si="109"/>
        <v>0.94517945999999997</v>
      </c>
      <c r="AC107" s="25">
        <f t="shared" si="110"/>
        <v>47258973</v>
      </c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>
        <f>+'[1]AGOSTO 2016'!$Y$941</f>
        <v>47258973</v>
      </c>
      <c r="AS107" s="25"/>
      <c r="AT107" s="25"/>
      <c r="AU107" s="25"/>
      <c r="AV107" s="25"/>
      <c r="AW107" s="25"/>
      <c r="AX107" s="27">
        <f t="shared" si="111"/>
        <v>5.4820540000000029E-2</v>
      </c>
      <c r="AY107" s="25">
        <f t="shared" si="112"/>
        <v>2741027</v>
      </c>
      <c r="AZ107" s="25">
        <f t="shared" si="113"/>
        <v>0</v>
      </c>
      <c r="BA107" s="25">
        <f t="shared" si="113"/>
        <v>0</v>
      </c>
      <c r="BB107" s="25">
        <f t="shared" si="113"/>
        <v>0</v>
      </c>
      <c r="BC107" s="25">
        <f t="shared" si="126"/>
        <v>0</v>
      </c>
      <c r="BD107" s="25">
        <f t="shared" si="126"/>
        <v>0</v>
      </c>
      <c r="BE107" s="25">
        <f t="shared" si="126"/>
        <v>0</v>
      </c>
      <c r="BF107" s="25">
        <f t="shared" si="126"/>
        <v>0</v>
      </c>
      <c r="BG107" s="25">
        <f t="shared" si="126"/>
        <v>0</v>
      </c>
      <c r="BH107" s="25">
        <f t="shared" si="126"/>
        <v>0</v>
      </c>
      <c r="BI107" s="25">
        <f t="shared" si="126"/>
        <v>0</v>
      </c>
      <c r="BJ107" s="25">
        <f t="shared" si="126"/>
        <v>0</v>
      </c>
      <c r="BK107" s="25">
        <f t="shared" si="126"/>
        <v>0</v>
      </c>
      <c r="BL107" s="25">
        <f t="shared" si="126"/>
        <v>0</v>
      </c>
      <c r="BM107" s="25">
        <f t="shared" si="126"/>
        <v>2741027</v>
      </c>
      <c r="BN107" s="25">
        <f t="shared" si="126"/>
        <v>0</v>
      </c>
      <c r="BO107" s="25"/>
      <c r="BP107" s="25"/>
      <c r="BQ107" s="25">
        <f t="shared" si="115"/>
        <v>0</v>
      </c>
      <c r="BR107" s="25">
        <f t="shared" si="127"/>
        <v>0</v>
      </c>
      <c r="BS107" s="27">
        <f t="shared" si="117"/>
        <v>0.94517945999999997</v>
      </c>
      <c r="BT107" s="25">
        <f t="shared" si="118"/>
        <v>47258973</v>
      </c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>
        <f>+'[1]AGOSTO 2016'!$H$939</f>
        <v>47258973</v>
      </c>
      <c r="CJ107" s="25"/>
      <c r="CK107" s="25"/>
      <c r="CL107" s="25"/>
      <c r="CM107" s="25"/>
      <c r="CN107" s="25"/>
      <c r="CO107" s="27">
        <f t="shared" si="119"/>
        <v>5.4820540000000029E-2</v>
      </c>
      <c r="CP107" s="25">
        <f t="shared" si="120"/>
        <v>2741027</v>
      </c>
      <c r="CQ107" s="25">
        <f t="shared" si="121"/>
        <v>0</v>
      </c>
      <c r="CR107" s="25">
        <f t="shared" si="121"/>
        <v>0</v>
      </c>
      <c r="CS107" s="25">
        <f t="shared" si="121"/>
        <v>0</v>
      </c>
      <c r="CT107" s="25">
        <f t="shared" si="121"/>
        <v>0</v>
      </c>
      <c r="CU107" s="25">
        <f t="shared" si="121"/>
        <v>0</v>
      </c>
      <c r="CV107" s="25">
        <f t="shared" si="121"/>
        <v>0</v>
      </c>
      <c r="CW107" s="25">
        <f t="shared" si="128"/>
        <v>0</v>
      </c>
      <c r="CX107" s="25">
        <f t="shared" si="128"/>
        <v>0</v>
      </c>
      <c r="CY107" s="25">
        <f t="shared" si="121"/>
        <v>0</v>
      </c>
      <c r="CZ107" s="25">
        <f t="shared" si="123"/>
        <v>0</v>
      </c>
      <c r="DA107" s="25">
        <f t="shared" si="123"/>
        <v>0</v>
      </c>
      <c r="DB107" s="25">
        <f t="shared" si="123"/>
        <v>0</v>
      </c>
      <c r="DC107" s="25">
        <f t="shared" si="129"/>
        <v>0</v>
      </c>
      <c r="DD107" s="25">
        <f t="shared" si="129"/>
        <v>2741027</v>
      </c>
      <c r="DE107" s="25">
        <f t="shared" si="129"/>
        <v>0</v>
      </c>
      <c r="DF107" s="25"/>
      <c r="DG107" s="25">
        <f t="shared" si="130"/>
        <v>0</v>
      </c>
      <c r="DH107" s="25">
        <f t="shared" si="130"/>
        <v>0</v>
      </c>
      <c r="DI107" s="25">
        <f t="shared" si="130"/>
        <v>0</v>
      </c>
      <c r="DK107" s="78"/>
      <c r="DL107" s="78"/>
      <c r="DM107" s="276">
        <f t="shared" si="98"/>
        <v>50000000</v>
      </c>
      <c r="DN107" s="277">
        <f t="shared" si="99"/>
        <v>47258973</v>
      </c>
      <c r="DO107" s="278">
        <f t="shared" si="69"/>
        <v>0.94517945999999997</v>
      </c>
    </row>
    <row r="108" spans="1:119" s="47" customFormat="1" ht="21" customHeight="1" thickBot="1" x14ac:dyDescent="0.3">
      <c r="A108" s="74"/>
      <c r="B108" s="245" t="s">
        <v>379</v>
      </c>
      <c r="C108" s="246"/>
      <c r="D108" s="246"/>
      <c r="E108" s="246"/>
      <c r="F108" s="247"/>
      <c r="G108" s="63">
        <f t="shared" ref="G108:Z108" si="131">SUM(G93:G107)</f>
        <v>2606465655</v>
      </c>
      <c r="H108" s="63">
        <f t="shared" si="131"/>
        <v>200000000</v>
      </c>
      <c r="I108" s="63">
        <f t="shared" si="131"/>
        <v>268168096</v>
      </c>
      <c r="J108" s="63">
        <f t="shared" si="131"/>
        <v>0</v>
      </c>
      <c r="K108" s="63">
        <f t="shared" si="131"/>
        <v>701280247</v>
      </c>
      <c r="L108" s="63">
        <f t="shared" si="131"/>
        <v>0</v>
      </c>
      <c r="M108" s="63">
        <f t="shared" si="131"/>
        <v>0</v>
      </c>
      <c r="N108" s="63">
        <f t="shared" si="131"/>
        <v>0</v>
      </c>
      <c r="O108" s="63">
        <f t="shared" si="131"/>
        <v>0</v>
      </c>
      <c r="P108" s="63">
        <f t="shared" si="131"/>
        <v>0</v>
      </c>
      <c r="Q108" s="63">
        <f t="shared" si="131"/>
        <v>0</v>
      </c>
      <c r="R108" s="63">
        <f t="shared" si="131"/>
        <v>0</v>
      </c>
      <c r="S108" s="63">
        <f t="shared" si="131"/>
        <v>0</v>
      </c>
      <c r="T108" s="63">
        <f t="shared" si="131"/>
        <v>0</v>
      </c>
      <c r="U108" s="63">
        <f t="shared" si="131"/>
        <v>103185104</v>
      </c>
      <c r="V108" s="63">
        <f t="shared" si="131"/>
        <v>1262551657</v>
      </c>
      <c r="W108" s="63">
        <f t="shared" si="131"/>
        <v>0</v>
      </c>
      <c r="X108" s="63">
        <f t="shared" si="131"/>
        <v>0</v>
      </c>
      <c r="Y108" s="63">
        <f t="shared" si="131"/>
        <v>0</v>
      </c>
      <c r="Z108" s="63">
        <f t="shared" si="131"/>
        <v>71280551</v>
      </c>
      <c r="AB108" s="43">
        <f t="shared" si="109"/>
        <v>0.86550847645832496</v>
      </c>
      <c r="AC108" s="63">
        <f>SUM(AC93:AC107)</f>
        <v>2255918118</v>
      </c>
      <c r="AD108" s="63"/>
      <c r="AE108" s="63">
        <f>SUM(AE93:AE107)</f>
        <v>200000000</v>
      </c>
      <c r="AF108" s="63">
        <f t="shared" ref="AF108:AW108" si="132">SUM(AF93:AF107)</f>
        <v>268168096</v>
      </c>
      <c r="AG108" s="63">
        <f t="shared" si="132"/>
        <v>0</v>
      </c>
      <c r="AH108" s="63">
        <f t="shared" si="132"/>
        <v>701280247</v>
      </c>
      <c r="AI108" s="63">
        <f t="shared" si="132"/>
        <v>0</v>
      </c>
      <c r="AJ108" s="63">
        <f t="shared" si="132"/>
        <v>0</v>
      </c>
      <c r="AK108" s="63">
        <f t="shared" si="132"/>
        <v>0</v>
      </c>
      <c r="AL108" s="63">
        <f t="shared" si="132"/>
        <v>0</v>
      </c>
      <c r="AM108" s="63">
        <f t="shared" si="132"/>
        <v>0</v>
      </c>
      <c r="AN108" s="63">
        <f t="shared" si="132"/>
        <v>0</v>
      </c>
      <c r="AO108" s="63">
        <f t="shared" si="132"/>
        <v>0</v>
      </c>
      <c r="AP108" s="63">
        <f t="shared" si="132"/>
        <v>0</v>
      </c>
      <c r="AQ108" s="63">
        <f t="shared" si="132"/>
        <v>0</v>
      </c>
      <c r="AR108" s="63">
        <f t="shared" si="132"/>
        <v>47258973</v>
      </c>
      <c r="AS108" s="63">
        <f t="shared" si="132"/>
        <v>1011320055</v>
      </c>
      <c r="AT108" s="63">
        <f t="shared" si="132"/>
        <v>0</v>
      </c>
      <c r="AU108" s="63">
        <f t="shared" si="132"/>
        <v>0</v>
      </c>
      <c r="AV108" s="63">
        <f t="shared" si="132"/>
        <v>0</v>
      </c>
      <c r="AW108" s="63">
        <f t="shared" si="132"/>
        <v>27890747</v>
      </c>
      <c r="AX108" s="43">
        <f t="shared" si="111"/>
        <v>0.13449152354167504</v>
      </c>
      <c r="AY108" s="63">
        <f>SUM(AY93:AY107)</f>
        <v>350547537</v>
      </c>
      <c r="AZ108" s="63">
        <f t="shared" ref="AZ108:BR108" si="133">SUM(AZ93:AZ107)</f>
        <v>0</v>
      </c>
      <c r="BA108" s="63">
        <f t="shared" si="133"/>
        <v>0</v>
      </c>
      <c r="BB108" s="63">
        <f t="shared" si="133"/>
        <v>0</v>
      </c>
      <c r="BC108" s="63">
        <f t="shared" si="133"/>
        <v>0</v>
      </c>
      <c r="BD108" s="63">
        <f t="shared" si="133"/>
        <v>0</v>
      </c>
      <c r="BE108" s="63">
        <f t="shared" si="133"/>
        <v>0</v>
      </c>
      <c r="BF108" s="63">
        <f t="shared" si="133"/>
        <v>0</v>
      </c>
      <c r="BG108" s="63">
        <f t="shared" si="133"/>
        <v>0</v>
      </c>
      <c r="BH108" s="63">
        <f t="shared" si="133"/>
        <v>0</v>
      </c>
      <c r="BI108" s="63">
        <f t="shared" si="133"/>
        <v>0</v>
      </c>
      <c r="BJ108" s="63">
        <f t="shared" si="133"/>
        <v>0</v>
      </c>
      <c r="BK108" s="63">
        <f t="shared" si="133"/>
        <v>0</v>
      </c>
      <c r="BL108" s="63">
        <f t="shared" si="133"/>
        <v>0</v>
      </c>
      <c r="BM108" s="63">
        <f t="shared" si="133"/>
        <v>55926131</v>
      </c>
      <c r="BN108" s="63">
        <f t="shared" si="133"/>
        <v>251231602</v>
      </c>
      <c r="BO108" s="63">
        <f t="shared" si="133"/>
        <v>0</v>
      </c>
      <c r="BP108" s="63">
        <f t="shared" si="133"/>
        <v>0</v>
      </c>
      <c r="BQ108" s="63">
        <f t="shared" si="133"/>
        <v>0</v>
      </c>
      <c r="BR108" s="63">
        <f t="shared" si="133"/>
        <v>43389804</v>
      </c>
      <c r="BS108" s="43">
        <f t="shared" si="117"/>
        <v>0.83144427851668734</v>
      </c>
      <c r="BT108" s="63">
        <f>SUM(BT93:BT107)</f>
        <v>2167130956</v>
      </c>
      <c r="BU108" s="63">
        <f>SUM(BU93:BU107)</f>
        <v>0</v>
      </c>
      <c r="BV108" s="63">
        <f>SUM(BV93:BV107)</f>
        <v>198408143</v>
      </c>
      <c r="BW108" s="63">
        <f>SUM(BW93:BW107)</f>
        <v>268168096</v>
      </c>
      <c r="BX108" s="63"/>
      <c r="BY108" s="63">
        <f>SUM(BY93:BY107)</f>
        <v>701280247</v>
      </c>
      <c r="BZ108" s="63">
        <f>SUM(BZ93:BZ107)</f>
        <v>0</v>
      </c>
      <c r="CA108" s="63"/>
      <c r="CB108" s="63">
        <f t="shared" ref="CB108:CJ108" si="134">SUM(CB93:CB107)</f>
        <v>0</v>
      </c>
      <c r="CC108" s="63">
        <f t="shared" si="134"/>
        <v>0</v>
      </c>
      <c r="CD108" s="63">
        <f t="shared" si="134"/>
        <v>0</v>
      </c>
      <c r="CE108" s="63">
        <f t="shared" si="134"/>
        <v>0</v>
      </c>
      <c r="CF108" s="63">
        <f t="shared" si="134"/>
        <v>0</v>
      </c>
      <c r="CG108" s="63">
        <f t="shared" si="134"/>
        <v>0</v>
      </c>
      <c r="CH108" s="63">
        <f t="shared" si="134"/>
        <v>0</v>
      </c>
      <c r="CI108" s="63">
        <f t="shared" si="134"/>
        <v>47258973</v>
      </c>
      <c r="CJ108" s="63">
        <f t="shared" si="134"/>
        <v>925219270</v>
      </c>
      <c r="CK108" s="63"/>
      <c r="CL108" s="63">
        <f>SUM(CL93:CL107)</f>
        <v>0</v>
      </c>
      <c r="CM108" s="63">
        <f>SUM(CM93:CM107)</f>
        <v>0</v>
      </c>
      <c r="CN108" s="63">
        <f>SUM(CN93:CN107)</f>
        <v>26796227</v>
      </c>
      <c r="CO108" s="43">
        <f t="shared" si="119"/>
        <v>0.16855572148331266</v>
      </c>
      <c r="CP108" s="63">
        <f t="shared" ref="CP108:DI108" si="135">SUM(CP93:CP107)</f>
        <v>439334699</v>
      </c>
      <c r="CQ108" s="63">
        <f t="shared" si="135"/>
        <v>1591857</v>
      </c>
      <c r="CR108" s="63">
        <f t="shared" si="135"/>
        <v>0</v>
      </c>
      <c r="CS108" s="63">
        <f t="shared" si="135"/>
        <v>0</v>
      </c>
      <c r="CT108" s="63">
        <f t="shared" si="135"/>
        <v>0</v>
      </c>
      <c r="CU108" s="63">
        <f t="shared" si="135"/>
        <v>0</v>
      </c>
      <c r="CV108" s="63">
        <f t="shared" si="135"/>
        <v>0</v>
      </c>
      <c r="CW108" s="63">
        <f t="shared" si="135"/>
        <v>0</v>
      </c>
      <c r="CX108" s="63">
        <f t="shared" si="135"/>
        <v>0</v>
      </c>
      <c r="CY108" s="63">
        <f t="shared" si="135"/>
        <v>0</v>
      </c>
      <c r="CZ108" s="63">
        <f t="shared" si="135"/>
        <v>0</v>
      </c>
      <c r="DA108" s="63">
        <f t="shared" si="135"/>
        <v>0</v>
      </c>
      <c r="DB108" s="63">
        <f t="shared" si="135"/>
        <v>0</v>
      </c>
      <c r="DC108" s="63">
        <f t="shared" si="135"/>
        <v>0</v>
      </c>
      <c r="DD108" s="63">
        <f t="shared" si="135"/>
        <v>55926131</v>
      </c>
      <c r="DE108" s="63">
        <f t="shared" si="135"/>
        <v>337332387</v>
      </c>
      <c r="DF108" s="63">
        <f t="shared" si="135"/>
        <v>0</v>
      </c>
      <c r="DG108" s="63">
        <f t="shared" si="135"/>
        <v>0</v>
      </c>
      <c r="DH108" s="63">
        <f t="shared" si="135"/>
        <v>0</v>
      </c>
      <c r="DI108" s="92">
        <f t="shared" si="135"/>
        <v>44484324</v>
      </c>
      <c r="DK108" s="78" t="s">
        <v>395</v>
      </c>
      <c r="DL108" s="78"/>
      <c r="DM108" s="276">
        <f t="shared" si="98"/>
        <v>2606465655</v>
      </c>
      <c r="DN108" s="277">
        <f t="shared" si="99"/>
        <v>2167130956</v>
      </c>
      <c r="DO108" s="278">
        <f t="shared" si="69"/>
        <v>0.83144427851668734</v>
      </c>
    </row>
    <row r="109" spans="1:119" ht="51" hidden="1" customHeight="1" thickTop="1" x14ac:dyDescent="0.25">
      <c r="A109" s="196" t="s">
        <v>303</v>
      </c>
      <c r="B109" s="192" t="s">
        <v>304</v>
      </c>
      <c r="C109" s="70" t="s">
        <v>305</v>
      </c>
      <c r="D109" s="22" t="s">
        <v>306</v>
      </c>
      <c r="E109" s="93">
        <v>111</v>
      </c>
      <c r="F109" s="24" t="s">
        <v>307</v>
      </c>
      <c r="G109" s="25">
        <f t="shared" ref="G109:G127" si="136">SUM(H109:Z109)</f>
        <v>2779574241</v>
      </c>
      <c r="H109" s="25"/>
      <c r="I109" s="25">
        <f>2264025000</f>
        <v>2264025000</v>
      </c>
      <c r="J109" s="25">
        <f>72450095-52147109</f>
        <v>20302986</v>
      </c>
      <c r="K109" s="25"/>
      <c r="L109" s="25"/>
      <c r="M109" s="25">
        <f>54387</f>
        <v>54387</v>
      </c>
      <c r="N109" s="25">
        <f>30665828</f>
        <v>30665828</v>
      </c>
      <c r="O109" s="25">
        <f>1940856</f>
        <v>1940856</v>
      </c>
      <c r="P109" s="25"/>
      <c r="Q109" s="56">
        <f>60000000+100000000</f>
        <v>160000000</v>
      </c>
      <c r="R109" s="25"/>
      <c r="S109" s="25"/>
      <c r="T109" s="25"/>
      <c r="U109" s="25"/>
      <c r="V109" s="25"/>
      <c r="W109" s="25"/>
      <c r="X109" s="25"/>
      <c r="Y109" s="25"/>
      <c r="Z109" s="25">
        <f>28000000+784585184-485000000-9000000-16000000</f>
        <v>302585184</v>
      </c>
      <c r="AA109" s="94"/>
      <c r="AB109" s="27">
        <f t="shared" si="109"/>
        <v>0.48238470598202671</v>
      </c>
      <c r="AC109" s="25">
        <f t="shared" ref="AC109:AC127" si="137">SUM(AD109:AW109)</f>
        <v>1340824103</v>
      </c>
      <c r="AD109" s="25"/>
      <c r="AE109" s="25"/>
      <c r="AF109" s="25">
        <f>+'[1]AGOSTO 2016'!$M$18</f>
        <v>1339144887</v>
      </c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>
        <f>+'[1]AGOSTO 2016'!$AG$18</f>
        <v>1679216</v>
      </c>
      <c r="AX109" s="27">
        <f t="shared" si="111"/>
        <v>0.51761529401797324</v>
      </c>
      <c r="AY109" s="25">
        <f t="shared" ref="AY109:AY127" si="138">SUM(AZ109:BR109)</f>
        <v>1438750138</v>
      </c>
      <c r="AZ109" s="25">
        <f t="shared" ref="AZ109:BN120" si="139">H109-AE109</f>
        <v>0</v>
      </c>
      <c r="BA109" s="25">
        <f t="shared" si="139"/>
        <v>924880113</v>
      </c>
      <c r="BB109" s="25">
        <f t="shared" si="139"/>
        <v>20302986</v>
      </c>
      <c r="BC109" s="25">
        <f t="shared" ref="BC109:BN119" si="140">+K109-AH109</f>
        <v>0</v>
      </c>
      <c r="BD109" s="25">
        <f t="shared" si="140"/>
        <v>0</v>
      </c>
      <c r="BE109" s="25">
        <f t="shared" si="140"/>
        <v>54387</v>
      </c>
      <c r="BF109" s="25">
        <f t="shared" si="140"/>
        <v>30665828</v>
      </c>
      <c r="BG109" s="25">
        <f t="shared" si="140"/>
        <v>1940856</v>
      </c>
      <c r="BH109" s="25">
        <f t="shared" si="140"/>
        <v>0</v>
      </c>
      <c r="BI109" s="25">
        <f t="shared" si="140"/>
        <v>160000000</v>
      </c>
      <c r="BJ109" s="25">
        <f t="shared" si="140"/>
        <v>0</v>
      </c>
      <c r="BK109" s="25">
        <f t="shared" si="140"/>
        <v>0</v>
      </c>
      <c r="BL109" s="25">
        <f t="shared" si="140"/>
        <v>0</v>
      </c>
      <c r="BM109" s="25">
        <f t="shared" si="140"/>
        <v>0</v>
      </c>
      <c r="BN109" s="25">
        <f t="shared" si="140"/>
        <v>0</v>
      </c>
      <c r="BO109" s="25"/>
      <c r="BP109" s="25"/>
      <c r="BQ109" s="25">
        <f t="shared" ref="BQ109:BQ120" si="141">Y109-AV109</f>
        <v>0</v>
      </c>
      <c r="BR109" s="25">
        <f t="shared" ref="BR109:BR119" si="142">+Z109-AW109</f>
        <v>300905968</v>
      </c>
      <c r="BS109" s="27">
        <f t="shared" si="117"/>
        <v>0.45103902623193148</v>
      </c>
      <c r="BT109" s="25">
        <f t="shared" ref="BT109:BT127" si="143">SUM(BU109:CN109)</f>
        <v>1253696459</v>
      </c>
      <c r="BU109" s="25"/>
      <c r="BV109" s="25"/>
      <c r="BW109" s="25">
        <f>+'[1]AGOSTO 2016'!$H$16-AW109</f>
        <v>1252017243</v>
      </c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>
        <f>+'[1]AGOSTO 2016'!$H$29</f>
        <v>1679216</v>
      </c>
      <c r="CO109" s="27">
        <f t="shared" si="119"/>
        <v>0.54896097376806852</v>
      </c>
      <c r="CP109" s="25">
        <f t="shared" ref="CP109:CP127" si="144">SUM(CQ109:DI109)</f>
        <v>1525877782</v>
      </c>
      <c r="CQ109" s="25">
        <f t="shared" ref="CQ109:CV120" si="145">H109-BV109</f>
        <v>0</v>
      </c>
      <c r="CR109" s="25">
        <f t="shared" si="145"/>
        <v>1012007757</v>
      </c>
      <c r="CS109" s="25">
        <f t="shared" si="145"/>
        <v>20302986</v>
      </c>
      <c r="CT109" s="25">
        <f t="shared" si="145"/>
        <v>0</v>
      </c>
      <c r="CU109" s="25">
        <f t="shared" si="145"/>
        <v>0</v>
      </c>
      <c r="CV109" s="25">
        <f t="shared" si="145"/>
        <v>54387</v>
      </c>
      <c r="CW109" s="25">
        <f t="shared" ref="CW109:CY119" si="146">+N109-CB109</f>
        <v>30665828</v>
      </c>
      <c r="CX109" s="25">
        <f t="shared" si="146"/>
        <v>1940856</v>
      </c>
      <c r="CY109" s="25">
        <f t="shared" si="146"/>
        <v>0</v>
      </c>
      <c r="CZ109" s="25">
        <f t="shared" ref="CZ109:DB120" si="147">Q109-CE109</f>
        <v>160000000</v>
      </c>
      <c r="DA109" s="25">
        <f t="shared" si="147"/>
        <v>0</v>
      </c>
      <c r="DB109" s="25">
        <f t="shared" si="147"/>
        <v>0</v>
      </c>
      <c r="DC109" s="25">
        <f t="shared" ref="DC109:DE119" si="148">+T109-CH109</f>
        <v>0</v>
      </c>
      <c r="DD109" s="25">
        <f t="shared" si="148"/>
        <v>0</v>
      </c>
      <c r="DE109" s="25">
        <f t="shared" si="148"/>
        <v>0</v>
      </c>
      <c r="DF109" s="25"/>
      <c r="DG109" s="25">
        <f t="shared" ref="DG109:DI119" si="149">+X109-CL109</f>
        <v>0</v>
      </c>
      <c r="DH109" s="25">
        <f t="shared" si="149"/>
        <v>0</v>
      </c>
      <c r="DI109" s="25">
        <f t="shared" si="149"/>
        <v>300905968</v>
      </c>
      <c r="DK109" s="78"/>
      <c r="DL109" s="78"/>
      <c r="DM109" s="276">
        <f t="shared" si="98"/>
        <v>2779574241</v>
      </c>
      <c r="DN109" s="277">
        <f t="shared" si="99"/>
        <v>1253696459</v>
      </c>
      <c r="DO109" s="278">
        <f t="shared" si="69"/>
        <v>0.45103902623193148</v>
      </c>
    </row>
    <row r="110" spans="1:119" s="59" customFormat="1" ht="36" hidden="1" customHeight="1" x14ac:dyDescent="0.25">
      <c r="A110" s="193"/>
      <c r="B110" s="187"/>
      <c r="C110" s="57" t="s">
        <v>308</v>
      </c>
      <c r="D110" s="22" t="s">
        <v>309</v>
      </c>
      <c r="E110" s="91">
        <v>111</v>
      </c>
      <c r="F110" s="24" t="s">
        <v>310</v>
      </c>
      <c r="G110" s="25">
        <f t="shared" si="136"/>
        <v>1157377551</v>
      </c>
      <c r="H110" s="56"/>
      <c r="I110" s="56">
        <f>982978733+50000000</f>
        <v>1032978733</v>
      </c>
      <c r="J110" s="56">
        <v>39062301</v>
      </c>
      <c r="K110" s="56"/>
      <c r="L110" s="56"/>
      <c r="M110" s="56"/>
      <c r="N110" s="56"/>
      <c r="O110" s="56"/>
      <c r="P110" s="56">
        <f>3438802</f>
        <v>3438802</v>
      </c>
      <c r="Q110" s="56">
        <f>50000000</f>
        <v>50000000</v>
      </c>
      <c r="R110" s="56"/>
      <c r="S110" s="56"/>
      <c r="T110" s="56"/>
      <c r="U110" s="56"/>
      <c r="V110" s="56"/>
      <c r="W110" s="56"/>
      <c r="X110" s="56"/>
      <c r="Y110" s="56"/>
      <c r="Z110" s="56">
        <f>12000000+1000000+2897715+16000000</f>
        <v>31897715</v>
      </c>
      <c r="AA110" s="95"/>
      <c r="AB110" s="60">
        <f t="shared" si="109"/>
        <v>0.93630403930307438</v>
      </c>
      <c r="AC110" s="25">
        <f t="shared" si="137"/>
        <v>1083657276</v>
      </c>
      <c r="AD110" s="56"/>
      <c r="AE110" s="56"/>
      <c r="AF110" s="56">
        <f>+'[1]AGOSTO 2016'!$M$34</f>
        <v>982960403</v>
      </c>
      <c r="AG110" s="56">
        <f>+'[6]JULIO 2016'!$N$31</f>
        <v>37846647</v>
      </c>
      <c r="AH110" s="56"/>
      <c r="AI110" s="56"/>
      <c r="AJ110" s="56"/>
      <c r="AK110" s="56"/>
      <c r="AL110" s="56"/>
      <c r="AM110" s="56"/>
      <c r="AN110" s="25">
        <f>+'[8]MAYO 2016'!$U$31</f>
        <v>49856575</v>
      </c>
      <c r="AO110" s="56"/>
      <c r="AP110" s="56"/>
      <c r="AQ110" s="56"/>
      <c r="AR110" s="56"/>
      <c r="AS110" s="56"/>
      <c r="AT110" s="56"/>
      <c r="AU110" s="56"/>
      <c r="AV110" s="56"/>
      <c r="AW110" s="56">
        <f>+'[1]AGOSTO 2016'!$AG$34</f>
        <v>12993651</v>
      </c>
      <c r="AX110" s="60">
        <f t="shared" si="111"/>
        <v>6.3695960696925624E-2</v>
      </c>
      <c r="AY110" s="25">
        <f t="shared" si="138"/>
        <v>73720275</v>
      </c>
      <c r="AZ110" s="56">
        <f t="shared" si="139"/>
        <v>0</v>
      </c>
      <c r="BA110" s="56">
        <f t="shared" si="139"/>
        <v>50018330</v>
      </c>
      <c r="BB110" s="56">
        <f t="shared" si="139"/>
        <v>1215654</v>
      </c>
      <c r="BC110" s="56">
        <f t="shared" si="140"/>
        <v>0</v>
      </c>
      <c r="BD110" s="56">
        <f t="shared" si="140"/>
        <v>0</v>
      </c>
      <c r="BE110" s="25">
        <f t="shared" si="140"/>
        <v>0</v>
      </c>
      <c r="BF110" s="56">
        <f t="shared" si="140"/>
        <v>0</v>
      </c>
      <c r="BG110" s="56">
        <f t="shared" si="140"/>
        <v>0</v>
      </c>
      <c r="BH110" s="56">
        <f t="shared" si="140"/>
        <v>3438802</v>
      </c>
      <c r="BI110" s="56">
        <f t="shared" si="140"/>
        <v>143425</v>
      </c>
      <c r="BJ110" s="56">
        <f t="shared" si="140"/>
        <v>0</v>
      </c>
      <c r="BK110" s="56">
        <f t="shared" si="140"/>
        <v>0</v>
      </c>
      <c r="BL110" s="56">
        <f t="shared" si="140"/>
        <v>0</v>
      </c>
      <c r="BM110" s="56">
        <f t="shared" si="140"/>
        <v>0</v>
      </c>
      <c r="BN110" s="56">
        <f t="shared" si="140"/>
        <v>0</v>
      </c>
      <c r="BO110" s="56"/>
      <c r="BP110" s="56"/>
      <c r="BQ110" s="25">
        <f t="shared" si="141"/>
        <v>0</v>
      </c>
      <c r="BR110" s="56">
        <f t="shared" si="142"/>
        <v>18904064</v>
      </c>
      <c r="BS110" s="60">
        <f t="shared" si="117"/>
        <v>0.69640396887221112</v>
      </c>
      <c r="BT110" s="25">
        <f t="shared" si="143"/>
        <v>806002320</v>
      </c>
      <c r="BU110" s="56"/>
      <c r="BV110" s="56"/>
      <c r="BW110" s="56">
        <f>'[1]AGOSTO 2016'!$H$36+'[1]AGOSTO 2016'!$H$39+'[1]AGOSTO 2016'!$H$41+'[1]AGOSTO 2016'!$H$44+'[1]AGOSTO 2016'!$H$46+'[1]AGOSTO 2016'!$H$49+'[1]AGOSTO 2016'!$H$51+'[1]AGOSTO 2016'!$H$53+'[1]AGOSTO 2016'!$H$55+'[1]AGOSTO 2016'!$H$59+'[1]AGOSTO 2016'!$H$66+'[1]AGOSTO 2016'!$H$74</f>
        <v>712441894</v>
      </c>
      <c r="BX110" s="56">
        <f>+'[7]JUNIO 2016'!$H$56</f>
        <v>30710300</v>
      </c>
      <c r="BY110" s="56"/>
      <c r="BZ110" s="56"/>
      <c r="CA110" s="56"/>
      <c r="CB110" s="56"/>
      <c r="CC110" s="56"/>
      <c r="CD110" s="56"/>
      <c r="CE110" s="56">
        <f>+'[3]ABRIL 2016'!$H$34</f>
        <v>49856575</v>
      </c>
      <c r="CF110" s="56"/>
      <c r="CG110" s="56"/>
      <c r="CH110" s="56"/>
      <c r="CI110" s="56"/>
      <c r="CJ110" s="56"/>
      <c r="CK110" s="56"/>
      <c r="CL110" s="56"/>
      <c r="CM110" s="56"/>
      <c r="CN110" s="56">
        <f>+'[1]AGOSTO 2016'!$H$57+'[1]AGOSTO 2016'!$H$63+'[1]AGOSTO 2016'!$H$64+'[1]AGOSTO 2016'!$H$68+'[1]AGOSTO 2016'!$H$71+'[1]AGOSTO 2016'!$H$77+'[1]AGOSTO 2016'!$H$78</f>
        <v>12993551</v>
      </c>
      <c r="CO110" s="60">
        <f t="shared" si="119"/>
        <v>0.30359603112778888</v>
      </c>
      <c r="CP110" s="25">
        <f t="shared" si="144"/>
        <v>351375231</v>
      </c>
      <c r="CQ110" s="25">
        <f t="shared" si="145"/>
        <v>0</v>
      </c>
      <c r="CR110" s="56">
        <f t="shared" si="145"/>
        <v>320536839</v>
      </c>
      <c r="CS110" s="56">
        <f t="shared" si="145"/>
        <v>8352001</v>
      </c>
      <c r="CT110" s="56">
        <f t="shared" si="145"/>
        <v>0</v>
      </c>
      <c r="CU110" s="56">
        <f t="shared" si="145"/>
        <v>0</v>
      </c>
      <c r="CV110" s="25">
        <f t="shared" si="145"/>
        <v>0</v>
      </c>
      <c r="CW110" s="56">
        <f t="shared" si="146"/>
        <v>0</v>
      </c>
      <c r="CX110" s="56">
        <f t="shared" si="146"/>
        <v>0</v>
      </c>
      <c r="CY110" s="25">
        <f t="shared" si="146"/>
        <v>3438802</v>
      </c>
      <c r="CZ110" s="56">
        <f t="shared" si="147"/>
        <v>143425</v>
      </c>
      <c r="DA110" s="56">
        <f t="shared" si="147"/>
        <v>0</v>
      </c>
      <c r="DB110" s="56">
        <f t="shared" si="147"/>
        <v>0</v>
      </c>
      <c r="DC110" s="56">
        <f t="shared" si="148"/>
        <v>0</v>
      </c>
      <c r="DD110" s="56">
        <f t="shared" si="148"/>
        <v>0</v>
      </c>
      <c r="DE110" s="56">
        <f t="shared" si="148"/>
        <v>0</v>
      </c>
      <c r="DF110" s="56"/>
      <c r="DG110" s="56">
        <f t="shared" si="149"/>
        <v>0</v>
      </c>
      <c r="DH110" s="25">
        <f t="shared" si="149"/>
        <v>0</v>
      </c>
      <c r="DI110" s="56">
        <f t="shared" si="149"/>
        <v>18904164</v>
      </c>
      <c r="DK110" s="78"/>
      <c r="DL110" s="78"/>
      <c r="DM110" s="276">
        <f t="shared" si="98"/>
        <v>1157377551</v>
      </c>
      <c r="DN110" s="277">
        <f t="shared" si="99"/>
        <v>806002320</v>
      </c>
      <c r="DO110" s="278">
        <f t="shared" si="69"/>
        <v>0.69640396887221112</v>
      </c>
    </row>
    <row r="111" spans="1:119" ht="41.25" hidden="1" customHeight="1" x14ac:dyDescent="0.25">
      <c r="A111" s="193"/>
      <c r="B111" s="188"/>
      <c r="C111" s="70" t="s">
        <v>311</v>
      </c>
      <c r="D111" s="22" t="s">
        <v>312</v>
      </c>
      <c r="E111" s="93">
        <v>111</v>
      </c>
      <c r="F111" s="24" t="s">
        <v>313</v>
      </c>
      <c r="G111" s="25">
        <f t="shared" si="136"/>
        <v>152147109</v>
      </c>
      <c r="H111" s="25"/>
      <c r="I111" s="25"/>
      <c r="J111" s="25">
        <f>59490931+52147109</f>
        <v>111638040</v>
      </c>
      <c r="K111" s="25"/>
      <c r="L111" s="25"/>
      <c r="M111" s="25"/>
      <c r="N111" s="25"/>
      <c r="O111" s="25"/>
      <c r="P111" s="25"/>
      <c r="Q111" s="56">
        <f>140509069-100000000</f>
        <v>40509069</v>
      </c>
      <c r="R111" s="25"/>
      <c r="S111" s="25"/>
      <c r="T111" s="25"/>
      <c r="U111" s="25"/>
      <c r="V111" s="25"/>
      <c r="W111" s="25"/>
      <c r="X111" s="25"/>
      <c r="Y111" s="25"/>
      <c r="Z111" s="25"/>
      <c r="AA111" s="94"/>
      <c r="AB111" s="27">
        <f t="shared" si="109"/>
        <v>0.29338736893120987</v>
      </c>
      <c r="AC111" s="25">
        <f t="shared" si="137"/>
        <v>44638040</v>
      </c>
      <c r="AD111" s="25"/>
      <c r="AE111" s="25"/>
      <c r="AF111" s="25"/>
      <c r="AG111" s="25">
        <f>+'[6]JULIO 2016'!$N$77</f>
        <v>14638040</v>
      </c>
      <c r="AH111" s="25"/>
      <c r="AI111" s="25"/>
      <c r="AJ111" s="25"/>
      <c r="AK111" s="25"/>
      <c r="AL111" s="25"/>
      <c r="AM111" s="25"/>
      <c r="AN111" s="25">
        <f>+'[3]ABRIL 2016'!$U$50</f>
        <v>30000000</v>
      </c>
      <c r="AO111" s="25"/>
      <c r="AP111" s="25"/>
      <c r="AQ111" s="25"/>
      <c r="AR111" s="25"/>
      <c r="AS111" s="25"/>
      <c r="AT111" s="25"/>
      <c r="AU111" s="25"/>
      <c r="AV111" s="25"/>
      <c r="AW111" s="25"/>
      <c r="AX111" s="27">
        <f t="shared" si="111"/>
        <v>0.70661263106879013</v>
      </c>
      <c r="AY111" s="25">
        <f t="shared" si="138"/>
        <v>107509069</v>
      </c>
      <c r="AZ111" s="25">
        <f t="shared" si="139"/>
        <v>0</v>
      </c>
      <c r="BA111" s="25">
        <f t="shared" si="139"/>
        <v>0</v>
      </c>
      <c r="BB111" s="25">
        <f t="shared" si="139"/>
        <v>97000000</v>
      </c>
      <c r="BC111" s="25">
        <f t="shared" si="140"/>
        <v>0</v>
      </c>
      <c r="BD111" s="25">
        <f t="shared" si="140"/>
        <v>0</v>
      </c>
      <c r="BE111" s="25">
        <f t="shared" si="140"/>
        <v>0</v>
      </c>
      <c r="BF111" s="25">
        <f t="shared" si="140"/>
        <v>0</v>
      </c>
      <c r="BG111" s="25">
        <f t="shared" si="140"/>
        <v>0</v>
      </c>
      <c r="BH111" s="25">
        <f t="shared" si="140"/>
        <v>0</v>
      </c>
      <c r="BI111" s="25">
        <f t="shared" si="140"/>
        <v>10509069</v>
      </c>
      <c r="BJ111" s="25">
        <f t="shared" si="140"/>
        <v>0</v>
      </c>
      <c r="BK111" s="25">
        <f t="shared" si="140"/>
        <v>0</v>
      </c>
      <c r="BL111" s="25">
        <f t="shared" si="140"/>
        <v>0</v>
      </c>
      <c r="BM111" s="25">
        <f t="shared" si="140"/>
        <v>0</v>
      </c>
      <c r="BN111" s="25">
        <f t="shared" si="140"/>
        <v>0</v>
      </c>
      <c r="BO111" s="25"/>
      <c r="BP111" s="25"/>
      <c r="BQ111" s="25">
        <f t="shared" si="141"/>
        <v>0</v>
      </c>
      <c r="BR111" s="25">
        <f t="shared" si="142"/>
        <v>0</v>
      </c>
      <c r="BS111" s="27">
        <f t="shared" si="117"/>
        <v>0.29338736893120987</v>
      </c>
      <c r="BT111" s="25">
        <f t="shared" si="143"/>
        <v>44638040</v>
      </c>
      <c r="BU111" s="25"/>
      <c r="BV111" s="25"/>
      <c r="BW111" s="25"/>
      <c r="BX111" s="25">
        <f>+'[7]JUNIO 2016'!$H$67+'[7]JUNIO 2016'!$H$70</f>
        <v>14638040</v>
      </c>
      <c r="BY111" s="25"/>
      <c r="BZ111" s="25"/>
      <c r="CA111" s="25"/>
      <c r="CB111" s="25"/>
      <c r="CC111" s="25"/>
      <c r="CD111" s="25"/>
      <c r="CE111" s="25">
        <f>+'[8]MAYO 2016'!$H$62</f>
        <v>30000000</v>
      </c>
      <c r="CF111" s="25"/>
      <c r="CG111" s="25"/>
      <c r="CH111" s="25"/>
      <c r="CI111" s="25"/>
      <c r="CJ111" s="25"/>
      <c r="CK111" s="25"/>
      <c r="CL111" s="25"/>
      <c r="CM111" s="25"/>
      <c r="CN111" s="25"/>
      <c r="CO111" s="27">
        <f t="shared" si="119"/>
        <v>0.70661263106879013</v>
      </c>
      <c r="CP111" s="25">
        <f t="shared" si="144"/>
        <v>107509069</v>
      </c>
      <c r="CQ111" s="25">
        <f t="shared" si="145"/>
        <v>0</v>
      </c>
      <c r="CR111" s="25">
        <f t="shared" si="145"/>
        <v>0</v>
      </c>
      <c r="CS111" s="25">
        <f t="shared" si="145"/>
        <v>97000000</v>
      </c>
      <c r="CT111" s="25">
        <f t="shared" si="145"/>
        <v>0</v>
      </c>
      <c r="CU111" s="25">
        <f t="shared" si="145"/>
        <v>0</v>
      </c>
      <c r="CV111" s="25">
        <f t="shared" si="145"/>
        <v>0</v>
      </c>
      <c r="CW111" s="25">
        <f t="shared" si="146"/>
        <v>0</v>
      </c>
      <c r="CX111" s="25">
        <f t="shared" si="146"/>
        <v>0</v>
      </c>
      <c r="CY111" s="25">
        <f t="shared" si="146"/>
        <v>0</v>
      </c>
      <c r="CZ111" s="25">
        <f t="shared" si="147"/>
        <v>10509069</v>
      </c>
      <c r="DA111" s="25">
        <f t="shared" si="147"/>
        <v>0</v>
      </c>
      <c r="DB111" s="25">
        <f t="shared" si="147"/>
        <v>0</v>
      </c>
      <c r="DC111" s="25">
        <f t="shared" si="148"/>
        <v>0</v>
      </c>
      <c r="DD111" s="25">
        <f t="shared" si="148"/>
        <v>0</v>
      </c>
      <c r="DE111" s="25">
        <f t="shared" si="148"/>
        <v>0</v>
      </c>
      <c r="DF111" s="25"/>
      <c r="DG111" s="25">
        <f t="shared" si="149"/>
        <v>0</v>
      </c>
      <c r="DH111" s="25">
        <f t="shared" si="149"/>
        <v>0</v>
      </c>
      <c r="DI111" s="25">
        <f t="shared" si="149"/>
        <v>0</v>
      </c>
      <c r="DJ111" s="47"/>
      <c r="DK111" s="78"/>
      <c r="DL111" s="78"/>
      <c r="DM111" s="276">
        <f t="shared" si="98"/>
        <v>152147109</v>
      </c>
      <c r="DN111" s="277">
        <f t="shared" si="99"/>
        <v>44638040</v>
      </c>
      <c r="DO111" s="278">
        <f t="shared" si="69"/>
        <v>0.29338736893120987</v>
      </c>
    </row>
    <row r="112" spans="1:119" ht="47.25" hidden="1" customHeight="1" x14ac:dyDescent="0.25">
      <c r="A112" s="193"/>
      <c r="B112" s="186" t="s">
        <v>314</v>
      </c>
      <c r="C112" s="70" t="s">
        <v>315</v>
      </c>
      <c r="D112" s="22" t="s">
        <v>316</v>
      </c>
      <c r="E112" s="93">
        <v>211</v>
      </c>
      <c r="F112" s="24" t="s">
        <v>317</v>
      </c>
      <c r="G112" s="25">
        <f t="shared" si="136"/>
        <v>1879879497</v>
      </c>
      <c r="H112" s="25"/>
      <c r="I112" s="25">
        <f>2300000000-500000000</f>
        <v>1800000000</v>
      </c>
      <c r="J112" s="25"/>
      <c r="K112" s="25"/>
      <c r="L112" s="25"/>
      <c r="M112" s="25"/>
      <c r="N112" s="25"/>
      <c r="O112" s="25"/>
      <c r="P112" s="25"/>
      <c r="Q112" s="25">
        <f>70000000</f>
        <v>70000000</v>
      </c>
      <c r="R112" s="25"/>
      <c r="S112" s="25"/>
      <c r="T112" s="25"/>
      <c r="U112" s="25"/>
      <c r="V112" s="25"/>
      <c r="W112" s="25"/>
      <c r="X112" s="25"/>
      <c r="Y112" s="25"/>
      <c r="Z112" s="25">
        <f>9879497</f>
        <v>9879497</v>
      </c>
      <c r="AB112" s="27">
        <f t="shared" si="109"/>
        <v>0.69458700788202699</v>
      </c>
      <c r="AC112" s="25">
        <f t="shared" si="137"/>
        <v>1305739875</v>
      </c>
      <c r="AD112" s="25"/>
      <c r="AE112" s="25"/>
      <c r="AF112" s="25">
        <f>+'[1]AGOSTO 2016'!$M$99</f>
        <v>1225873755</v>
      </c>
      <c r="AG112" s="25"/>
      <c r="AH112" s="25"/>
      <c r="AI112" s="25"/>
      <c r="AJ112" s="25"/>
      <c r="AK112" s="25"/>
      <c r="AL112" s="25"/>
      <c r="AM112" s="25"/>
      <c r="AN112" s="25">
        <f>+'[8]MAYO 2016'!$U$75</f>
        <v>70000000</v>
      </c>
      <c r="AO112" s="25"/>
      <c r="AP112" s="25"/>
      <c r="AQ112" s="25"/>
      <c r="AR112" s="25"/>
      <c r="AS112" s="25"/>
      <c r="AT112" s="25"/>
      <c r="AU112" s="25"/>
      <c r="AV112" s="25"/>
      <c r="AW112" s="25">
        <f>+'[8]MAYO 2016'!$AG$75</f>
        <v>9866120</v>
      </c>
      <c r="AX112" s="27">
        <f t="shared" si="111"/>
        <v>0.30541299211797301</v>
      </c>
      <c r="AY112" s="25">
        <f t="shared" si="138"/>
        <v>574139622</v>
      </c>
      <c r="AZ112" s="25">
        <f t="shared" si="139"/>
        <v>0</v>
      </c>
      <c r="BA112" s="25">
        <f t="shared" si="139"/>
        <v>574126245</v>
      </c>
      <c r="BB112" s="25">
        <f t="shared" si="139"/>
        <v>0</v>
      </c>
      <c r="BC112" s="25">
        <f t="shared" si="140"/>
        <v>0</v>
      </c>
      <c r="BD112" s="25">
        <f t="shared" si="140"/>
        <v>0</v>
      </c>
      <c r="BE112" s="25">
        <f t="shared" si="140"/>
        <v>0</v>
      </c>
      <c r="BF112" s="25">
        <f t="shared" si="140"/>
        <v>0</v>
      </c>
      <c r="BG112" s="25">
        <f t="shared" si="140"/>
        <v>0</v>
      </c>
      <c r="BH112" s="25">
        <f t="shared" si="140"/>
        <v>0</v>
      </c>
      <c r="BI112" s="25">
        <f t="shared" si="140"/>
        <v>0</v>
      </c>
      <c r="BJ112" s="25">
        <f t="shared" si="140"/>
        <v>0</v>
      </c>
      <c r="BK112" s="25">
        <f t="shared" si="140"/>
        <v>0</v>
      </c>
      <c r="BL112" s="25">
        <f t="shared" si="140"/>
        <v>0</v>
      </c>
      <c r="BM112" s="25">
        <f t="shared" si="140"/>
        <v>0</v>
      </c>
      <c r="BN112" s="25">
        <f t="shared" si="140"/>
        <v>0</v>
      </c>
      <c r="BO112" s="25"/>
      <c r="BP112" s="25"/>
      <c r="BQ112" s="25">
        <f t="shared" si="141"/>
        <v>0</v>
      </c>
      <c r="BR112" s="25">
        <f t="shared" si="142"/>
        <v>13377</v>
      </c>
      <c r="BS112" s="27">
        <f t="shared" si="117"/>
        <v>0.43811474741564244</v>
      </c>
      <c r="BT112" s="25">
        <f t="shared" si="143"/>
        <v>823602931</v>
      </c>
      <c r="BU112" s="25"/>
      <c r="BV112" s="25"/>
      <c r="BW112" s="25">
        <f>+'[1]AGOSTO 2016'!$H$100+'[1]AGOSTO 2016'!$H$103+'[1]AGOSTO 2016'!$H$107+'[1]AGOSTO 2016'!$H$109+'[1]AGOSTO 2016'!$H$111+'[1]AGOSTO 2016'!$H$113+'[1]AGOSTO 2016'!$H$114+'[1]AGOSTO 2016'!$H$120+'[1]AGOSTO 2016'!$H$124+'[1]AGOSTO 2016'!$H$126+'[1]AGOSTO 2016'!$H$128+'[1]AGOSTO 2016'!$H$130+'[1]AGOSTO 2016'!$H$132+'[1]AGOSTO 2016'!$H$135+'[1]AGOSTO 2016'!$H$139+'[1]AGOSTO 2016'!$H$141</f>
        <v>813736811</v>
      </c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>
        <f>+'[8]MAYO 2016'!$H$91</f>
        <v>9866120</v>
      </c>
      <c r="CO112" s="27">
        <f t="shared" si="119"/>
        <v>0.56188525258435762</v>
      </c>
      <c r="CP112" s="25">
        <f t="shared" si="144"/>
        <v>1056276566</v>
      </c>
      <c r="CQ112" s="25">
        <f t="shared" si="145"/>
        <v>0</v>
      </c>
      <c r="CR112" s="25">
        <f t="shared" si="145"/>
        <v>986263189</v>
      </c>
      <c r="CS112" s="25">
        <f t="shared" si="145"/>
        <v>0</v>
      </c>
      <c r="CT112" s="25">
        <f t="shared" si="145"/>
        <v>0</v>
      </c>
      <c r="CU112" s="25">
        <f t="shared" si="145"/>
        <v>0</v>
      </c>
      <c r="CV112" s="25">
        <f t="shared" si="145"/>
        <v>0</v>
      </c>
      <c r="CW112" s="25">
        <f t="shared" si="146"/>
        <v>0</v>
      </c>
      <c r="CX112" s="25">
        <f t="shared" si="146"/>
        <v>0</v>
      </c>
      <c r="CY112" s="25">
        <f t="shared" si="146"/>
        <v>0</v>
      </c>
      <c r="CZ112" s="25">
        <f t="shared" si="147"/>
        <v>70000000</v>
      </c>
      <c r="DA112" s="25">
        <f t="shared" si="147"/>
        <v>0</v>
      </c>
      <c r="DB112" s="25">
        <f t="shared" si="147"/>
        <v>0</v>
      </c>
      <c r="DC112" s="25">
        <f t="shared" si="148"/>
        <v>0</v>
      </c>
      <c r="DD112" s="25">
        <f t="shared" si="148"/>
        <v>0</v>
      </c>
      <c r="DE112" s="25">
        <f t="shared" si="148"/>
        <v>0</v>
      </c>
      <c r="DF112" s="25"/>
      <c r="DG112" s="25">
        <f t="shared" si="149"/>
        <v>0</v>
      </c>
      <c r="DH112" s="25">
        <f t="shared" si="149"/>
        <v>0</v>
      </c>
      <c r="DI112" s="25">
        <f t="shared" si="149"/>
        <v>13377</v>
      </c>
      <c r="DK112" s="78"/>
      <c r="DL112" s="78"/>
      <c r="DM112" s="276">
        <f t="shared" si="98"/>
        <v>1879879497</v>
      </c>
      <c r="DN112" s="277">
        <f t="shared" si="99"/>
        <v>823602931</v>
      </c>
      <c r="DO112" s="278">
        <f t="shared" si="69"/>
        <v>0.43811474741564244</v>
      </c>
    </row>
    <row r="113" spans="1:119" ht="50.25" hidden="1" customHeight="1" x14ac:dyDescent="0.25">
      <c r="A113" s="193"/>
      <c r="B113" s="187"/>
      <c r="C113" s="70" t="s">
        <v>318</v>
      </c>
      <c r="D113" s="96" t="s">
        <v>319</v>
      </c>
      <c r="E113" s="93">
        <v>211</v>
      </c>
      <c r="F113" s="24" t="s">
        <v>313</v>
      </c>
      <c r="G113" s="25">
        <f t="shared" si="136"/>
        <v>360432388</v>
      </c>
      <c r="H113" s="25"/>
      <c r="I113" s="25">
        <f>170000000+50000000</f>
        <v>220000000</v>
      </c>
      <c r="J113" s="25"/>
      <c r="K113" s="25"/>
      <c r="L113" s="25"/>
      <c r="M113" s="25"/>
      <c r="N113" s="25"/>
      <c r="O113" s="25"/>
      <c r="P113" s="25"/>
      <c r="Q113" s="25">
        <v>10432388</v>
      </c>
      <c r="R113" s="25"/>
      <c r="S113" s="25">
        <v>130000000</v>
      </c>
      <c r="T113" s="25"/>
      <c r="U113" s="25"/>
      <c r="V113" s="25"/>
      <c r="W113" s="25"/>
      <c r="X113" s="25"/>
      <c r="Y113" s="25"/>
      <c r="Z113" s="25"/>
      <c r="AB113" s="27">
        <f t="shared" si="109"/>
        <v>0.4599457610341055</v>
      </c>
      <c r="AC113" s="25">
        <f t="shared" si="137"/>
        <v>165779349</v>
      </c>
      <c r="AD113" s="25"/>
      <c r="AE113" s="25"/>
      <c r="AF113" s="25">
        <f>+'[1]AGOSTO 2016'!$M$148</f>
        <v>165779349</v>
      </c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7">
        <f t="shared" si="111"/>
        <v>0.54005423896589444</v>
      </c>
      <c r="AY113" s="25">
        <f t="shared" si="138"/>
        <v>194653039</v>
      </c>
      <c r="AZ113" s="25">
        <f t="shared" si="139"/>
        <v>0</v>
      </c>
      <c r="BA113" s="25">
        <f t="shared" si="139"/>
        <v>54220651</v>
      </c>
      <c r="BB113" s="25">
        <f t="shared" si="139"/>
        <v>0</v>
      </c>
      <c r="BC113" s="25">
        <f t="shared" si="140"/>
        <v>0</v>
      </c>
      <c r="BD113" s="25">
        <f t="shared" si="140"/>
        <v>0</v>
      </c>
      <c r="BE113" s="25">
        <f t="shared" si="140"/>
        <v>0</v>
      </c>
      <c r="BF113" s="25">
        <f t="shared" si="140"/>
        <v>0</v>
      </c>
      <c r="BG113" s="25">
        <f t="shared" si="140"/>
        <v>0</v>
      </c>
      <c r="BH113" s="25">
        <f t="shared" si="140"/>
        <v>0</v>
      </c>
      <c r="BI113" s="25">
        <f t="shared" si="140"/>
        <v>10432388</v>
      </c>
      <c r="BJ113" s="25">
        <f t="shared" si="140"/>
        <v>0</v>
      </c>
      <c r="BK113" s="25">
        <f t="shared" si="140"/>
        <v>130000000</v>
      </c>
      <c r="BL113" s="25">
        <f t="shared" si="140"/>
        <v>0</v>
      </c>
      <c r="BM113" s="25">
        <f t="shared" si="140"/>
        <v>0</v>
      </c>
      <c r="BN113" s="25">
        <f t="shared" si="140"/>
        <v>0</v>
      </c>
      <c r="BO113" s="25"/>
      <c r="BP113" s="25"/>
      <c r="BQ113" s="25">
        <f t="shared" si="141"/>
        <v>0</v>
      </c>
      <c r="BR113" s="25">
        <f t="shared" si="142"/>
        <v>0</v>
      </c>
      <c r="BS113" s="27">
        <f t="shared" si="117"/>
        <v>0.42367766350675456</v>
      </c>
      <c r="BT113" s="25">
        <f t="shared" si="143"/>
        <v>152707152</v>
      </c>
      <c r="BU113" s="25"/>
      <c r="BV113" s="25"/>
      <c r="BW113" s="25">
        <f>+'[1]AGOSTO 2016'!$H$146</f>
        <v>152707152</v>
      </c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7">
        <f t="shared" si="119"/>
        <v>0.57632233649324549</v>
      </c>
      <c r="CP113" s="25">
        <f t="shared" si="144"/>
        <v>207725236</v>
      </c>
      <c r="CQ113" s="25">
        <f t="shared" si="145"/>
        <v>0</v>
      </c>
      <c r="CR113" s="25">
        <f t="shared" si="145"/>
        <v>67292848</v>
      </c>
      <c r="CS113" s="25">
        <f t="shared" si="145"/>
        <v>0</v>
      </c>
      <c r="CT113" s="25">
        <f t="shared" si="145"/>
        <v>0</v>
      </c>
      <c r="CU113" s="25">
        <f t="shared" si="145"/>
        <v>0</v>
      </c>
      <c r="CV113" s="25">
        <f t="shared" si="145"/>
        <v>0</v>
      </c>
      <c r="CW113" s="25">
        <f t="shared" si="146"/>
        <v>0</v>
      </c>
      <c r="CX113" s="25">
        <f t="shared" si="146"/>
        <v>0</v>
      </c>
      <c r="CY113" s="25">
        <f t="shared" si="146"/>
        <v>0</v>
      </c>
      <c r="CZ113" s="25">
        <f t="shared" si="147"/>
        <v>10432388</v>
      </c>
      <c r="DA113" s="25">
        <f t="shared" si="147"/>
        <v>0</v>
      </c>
      <c r="DB113" s="25">
        <f t="shared" si="147"/>
        <v>130000000</v>
      </c>
      <c r="DC113" s="25">
        <f t="shared" si="148"/>
        <v>0</v>
      </c>
      <c r="DD113" s="25">
        <f t="shared" si="148"/>
        <v>0</v>
      </c>
      <c r="DE113" s="25">
        <f t="shared" si="148"/>
        <v>0</v>
      </c>
      <c r="DF113" s="25"/>
      <c r="DG113" s="25">
        <f t="shared" si="149"/>
        <v>0</v>
      </c>
      <c r="DH113" s="25">
        <f t="shared" si="149"/>
        <v>0</v>
      </c>
      <c r="DI113" s="25">
        <f t="shared" si="149"/>
        <v>0</v>
      </c>
      <c r="DK113" s="78"/>
      <c r="DL113" s="78"/>
      <c r="DM113" s="276">
        <f t="shared" si="98"/>
        <v>360432388</v>
      </c>
      <c r="DN113" s="277">
        <f t="shared" si="99"/>
        <v>152707152</v>
      </c>
      <c r="DO113" s="278">
        <f t="shared" si="69"/>
        <v>0.42367766350675456</v>
      </c>
    </row>
    <row r="114" spans="1:119" s="59" customFormat="1" ht="33" hidden="1" customHeight="1" x14ac:dyDescent="0.25">
      <c r="A114" s="193"/>
      <c r="B114" s="187"/>
      <c r="C114" s="57" t="s">
        <v>320</v>
      </c>
      <c r="D114" s="22" t="s">
        <v>321</v>
      </c>
      <c r="E114" s="91">
        <v>211</v>
      </c>
      <c r="F114" s="24" t="s">
        <v>322</v>
      </c>
      <c r="G114" s="25">
        <f t="shared" si="136"/>
        <v>459535209</v>
      </c>
      <c r="H114" s="30"/>
      <c r="I114" s="56">
        <v>453535209</v>
      </c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>
        <v>6000000</v>
      </c>
      <c r="AB114" s="60">
        <f t="shared" si="109"/>
        <v>0.64750708361935327</v>
      </c>
      <c r="AC114" s="25">
        <f t="shared" si="137"/>
        <v>297552303</v>
      </c>
      <c r="AD114" s="56"/>
      <c r="AE114" s="56"/>
      <c r="AF114" s="56">
        <f>+'[1]AGOSTO 2016'!$M$175</f>
        <v>297552303</v>
      </c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60">
        <f t="shared" si="111"/>
        <v>0.35249291638064673</v>
      </c>
      <c r="AY114" s="25">
        <f t="shared" si="138"/>
        <v>161982906</v>
      </c>
      <c r="AZ114" s="56">
        <f t="shared" si="139"/>
        <v>0</v>
      </c>
      <c r="BA114" s="56">
        <f t="shared" si="139"/>
        <v>155982906</v>
      </c>
      <c r="BB114" s="56">
        <f t="shared" si="139"/>
        <v>0</v>
      </c>
      <c r="BC114" s="56">
        <f t="shared" si="140"/>
        <v>0</v>
      </c>
      <c r="BD114" s="56">
        <f t="shared" si="140"/>
        <v>0</v>
      </c>
      <c r="BE114" s="25">
        <f t="shared" si="140"/>
        <v>0</v>
      </c>
      <c r="BF114" s="56">
        <f t="shared" si="140"/>
        <v>0</v>
      </c>
      <c r="BG114" s="56">
        <f t="shared" si="140"/>
        <v>0</v>
      </c>
      <c r="BH114" s="56">
        <f t="shared" si="140"/>
        <v>0</v>
      </c>
      <c r="BI114" s="56">
        <f t="shared" si="140"/>
        <v>0</v>
      </c>
      <c r="BJ114" s="56">
        <f t="shared" si="140"/>
        <v>0</v>
      </c>
      <c r="BK114" s="56">
        <f t="shared" si="140"/>
        <v>0</v>
      </c>
      <c r="BL114" s="56">
        <f t="shared" si="140"/>
        <v>0</v>
      </c>
      <c r="BM114" s="56">
        <f t="shared" si="140"/>
        <v>0</v>
      </c>
      <c r="BN114" s="56">
        <f t="shared" si="140"/>
        <v>0</v>
      </c>
      <c r="BO114" s="56"/>
      <c r="BP114" s="56"/>
      <c r="BQ114" s="25">
        <f t="shared" si="141"/>
        <v>0</v>
      </c>
      <c r="BR114" s="56">
        <f t="shared" si="142"/>
        <v>6000000</v>
      </c>
      <c r="BS114" s="60">
        <f t="shared" si="117"/>
        <v>0.21797241655970695</v>
      </c>
      <c r="BT114" s="25">
        <f t="shared" si="143"/>
        <v>100166000</v>
      </c>
      <c r="BU114" s="56"/>
      <c r="BV114" s="56"/>
      <c r="BW114" s="56">
        <f>+'[3]ABRIL 2016'!$H$97</f>
        <v>100166000</v>
      </c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60">
        <f t="shared" si="119"/>
        <v>0.78202758344029299</v>
      </c>
      <c r="CP114" s="25">
        <f t="shared" si="144"/>
        <v>359369209</v>
      </c>
      <c r="CQ114" s="25">
        <f t="shared" si="145"/>
        <v>0</v>
      </c>
      <c r="CR114" s="56">
        <f t="shared" si="145"/>
        <v>353369209</v>
      </c>
      <c r="CS114" s="56">
        <f t="shared" si="145"/>
        <v>0</v>
      </c>
      <c r="CT114" s="56">
        <f t="shared" si="145"/>
        <v>0</v>
      </c>
      <c r="CU114" s="56">
        <f t="shared" si="145"/>
        <v>0</v>
      </c>
      <c r="CV114" s="25">
        <f t="shared" si="145"/>
        <v>0</v>
      </c>
      <c r="CW114" s="56">
        <f t="shared" si="146"/>
        <v>0</v>
      </c>
      <c r="CX114" s="56">
        <f t="shared" si="146"/>
        <v>0</v>
      </c>
      <c r="CY114" s="25">
        <f t="shared" si="146"/>
        <v>0</v>
      </c>
      <c r="CZ114" s="56">
        <f t="shared" si="147"/>
        <v>0</v>
      </c>
      <c r="DA114" s="56">
        <f t="shared" si="147"/>
        <v>0</v>
      </c>
      <c r="DB114" s="56">
        <f t="shared" si="147"/>
        <v>0</v>
      </c>
      <c r="DC114" s="56">
        <f t="shared" si="148"/>
        <v>0</v>
      </c>
      <c r="DD114" s="56">
        <f t="shared" si="148"/>
        <v>0</v>
      </c>
      <c r="DE114" s="56">
        <f t="shared" si="148"/>
        <v>0</v>
      </c>
      <c r="DF114" s="56"/>
      <c r="DG114" s="56">
        <f t="shared" si="149"/>
        <v>0</v>
      </c>
      <c r="DH114" s="56">
        <f t="shared" si="149"/>
        <v>0</v>
      </c>
      <c r="DI114" s="56">
        <f t="shared" si="149"/>
        <v>6000000</v>
      </c>
      <c r="DK114" s="78"/>
      <c r="DL114" s="78"/>
      <c r="DM114" s="276">
        <f t="shared" si="98"/>
        <v>459535209</v>
      </c>
      <c r="DN114" s="277">
        <f t="shared" si="99"/>
        <v>100166000</v>
      </c>
      <c r="DO114" s="278">
        <f t="shared" si="69"/>
        <v>0.21797241655970695</v>
      </c>
    </row>
    <row r="115" spans="1:119" ht="95.25" hidden="1" customHeight="1" x14ac:dyDescent="0.25">
      <c r="A115" s="193"/>
      <c r="B115" s="187"/>
      <c r="C115" s="70" t="s">
        <v>323</v>
      </c>
      <c r="D115" s="22" t="s">
        <v>324</v>
      </c>
      <c r="E115" s="93">
        <v>211</v>
      </c>
      <c r="F115" s="24" t="s">
        <v>325</v>
      </c>
      <c r="G115" s="25">
        <f t="shared" si="136"/>
        <v>411607498</v>
      </c>
      <c r="H115" s="36"/>
      <c r="I115" s="25">
        <v>300000000</v>
      </c>
      <c r="J115" s="25"/>
      <c r="K115" s="25"/>
      <c r="L115" s="25"/>
      <c r="M115" s="25"/>
      <c r="N115" s="25"/>
      <c r="O115" s="25"/>
      <c r="P115" s="25"/>
      <c r="Q115" s="25">
        <v>15000000</v>
      </c>
      <c r="R115" s="25"/>
      <c r="S115" s="25"/>
      <c r="T115" s="25"/>
      <c r="U115" s="25"/>
      <c r="V115" s="25"/>
      <c r="W115" s="25"/>
      <c r="X115" s="25"/>
      <c r="Y115" s="25"/>
      <c r="Z115" s="25">
        <f>105607498+8000000+9000000-4000000+8000000-30000000</f>
        <v>96607498</v>
      </c>
      <c r="AB115" s="27">
        <f t="shared" si="109"/>
        <v>0.93847946132409865</v>
      </c>
      <c r="AC115" s="25">
        <f t="shared" si="137"/>
        <v>386285183</v>
      </c>
      <c r="AD115" s="25"/>
      <c r="AE115" s="25"/>
      <c r="AF115" s="25">
        <f>+'[1]AGOSTO 2016'!$M$184</f>
        <v>299974318</v>
      </c>
      <c r="AG115" s="25"/>
      <c r="AH115" s="25"/>
      <c r="AI115" s="25"/>
      <c r="AJ115" s="25"/>
      <c r="AK115" s="25"/>
      <c r="AL115" s="25"/>
      <c r="AM115" s="25"/>
      <c r="AN115" s="25">
        <v>15000000</v>
      </c>
      <c r="AO115" s="25"/>
      <c r="AP115" s="25"/>
      <c r="AQ115" s="25"/>
      <c r="AR115" s="25"/>
      <c r="AS115" s="25"/>
      <c r="AT115" s="25"/>
      <c r="AU115" s="25"/>
      <c r="AV115" s="25"/>
      <c r="AW115" s="25">
        <f>+'[1]AGOSTO 2016'!$AG$184</f>
        <v>71310865</v>
      </c>
      <c r="AX115" s="27">
        <f t="shared" si="111"/>
        <v>6.1520538675901348E-2</v>
      </c>
      <c r="AY115" s="25">
        <f t="shared" si="138"/>
        <v>25322315</v>
      </c>
      <c r="AZ115" s="25">
        <f t="shared" si="139"/>
        <v>0</v>
      </c>
      <c r="BA115" s="25">
        <f t="shared" si="139"/>
        <v>25682</v>
      </c>
      <c r="BB115" s="25">
        <f t="shared" si="139"/>
        <v>0</v>
      </c>
      <c r="BC115" s="25">
        <f t="shared" si="140"/>
        <v>0</v>
      </c>
      <c r="BD115" s="25">
        <f t="shared" si="140"/>
        <v>0</v>
      </c>
      <c r="BE115" s="25">
        <f t="shared" si="140"/>
        <v>0</v>
      </c>
      <c r="BF115" s="25">
        <f t="shared" si="140"/>
        <v>0</v>
      </c>
      <c r="BG115" s="25">
        <f t="shared" si="140"/>
        <v>0</v>
      </c>
      <c r="BH115" s="25">
        <f t="shared" si="140"/>
        <v>0</v>
      </c>
      <c r="BI115" s="25">
        <f t="shared" si="140"/>
        <v>0</v>
      </c>
      <c r="BJ115" s="25">
        <f t="shared" si="140"/>
        <v>0</v>
      </c>
      <c r="BK115" s="25">
        <f t="shared" si="140"/>
        <v>0</v>
      </c>
      <c r="BL115" s="25">
        <f t="shared" si="140"/>
        <v>0</v>
      </c>
      <c r="BM115" s="25">
        <f t="shared" si="140"/>
        <v>0</v>
      </c>
      <c r="BN115" s="25">
        <f t="shared" si="140"/>
        <v>0</v>
      </c>
      <c r="BO115" s="25"/>
      <c r="BP115" s="25"/>
      <c r="BQ115" s="25">
        <f t="shared" si="141"/>
        <v>0</v>
      </c>
      <c r="BR115" s="25">
        <f t="shared" si="142"/>
        <v>25296633</v>
      </c>
      <c r="BS115" s="27">
        <f t="shared" si="117"/>
        <v>0.34527837731469119</v>
      </c>
      <c r="BT115" s="25">
        <f t="shared" si="143"/>
        <v>142119169</v>
      </c>
      <c r="BU115" s="25"/>
      <c r="BV115" s="25"/>
      <c r="BW115" s="25">
        <f>+'[1]AGOSTO 2016'!$H$187+'[1]AGOSTO 2016'!$H$189+'[1]AGOSTO 2016'!$H$195+'[1]AGOSTO 2016'!$H$197</f>
        <v>62075154</v>
      </c>
      <c r="BX115" s="25"/>
      <c r="BY115" s="25"/>
      <c r="BZ115" s="25"/>
      <c r="CA115" s="25"/>
      <c r="CB115" s="25"/>
      <c r="CC115" s="25"/>
      <c r="CD115" s="25"/>
      <c r="CE115" s="25">
        <f>+'[2]MARZO 2016 ULTIMO'!$H$88</f>
        <v>15000000</v>
      </c>
      <c r="CF115" s="25"/>
      <c r="CG115" s="25"/>
      <c r="CH115" s="25"/>
      <c r="CI115" s="25"/>
      <c r="CJ115" s="25"/>
      <c r="CK115" s="25"/>
      <c r="CL115" s="25"/>
      <c r="CM115" s="25"/>
      <c r="CN115" s="25">
        <f>+'[1]AGOSTO 2016'!$H$182-CE115-BW115</f>
        <v>65044015</v>
      </c>
      <c r="CO115" s="27">
        <f t="shared" si="119"/>
        <v>0.65472162268530876</v>
      </c>
      <c r="CP115" s="25">
        <f t="shared" si="144"/>
        <v>269488329</v>
      </c>
      <c r="CQ115" s="25">
        <f t="shared" si="145"/>
        <v>0</v>
      </c>
      <c r="CR115" s="25">
        <f t="shared" si="145"/>
        <v>237924846</v>
      </c>
      <c r="CS115" s="25">
        <f t="shared" si="145"/>
        <v>0</v>
      </c>
      <c r="CT115" s="25">
        <f t="shared" si="145"/>
        <v>0</v>
      </c>
      <c r="CU115" s="25">
        <f t="shared" si="145"/>
        <v>0</v>
      </c>
      <c r="CV115" s="25">
        <f t="shared" si="145"/>
        <v>0</v>
      </c>
      <c r="CW115" s="25">
        <f t="shared" si="146"/>
        <v>0</v>
      </c>
      <c r="CX115" s="25">
        <f t="shared" si="146"/>
        <v>0</v>
      </c>
      <c r="CY115" s="25">
        <f t="shared" si="146"/>
        <v>0</v>
      </c>
      <c r="CZ115" s="25">
        <f t="shared" si="147"/>
        <v>0</v>
      </c>
      <c r="DA115" s="25">
        <f t="shared" si="147"/>
        <v>0</v>
      </c>
      <c r="DB115" s="25">
        <f t="shared" si="147"/>
        <v>0</v>
      </c>
      <c r="DC115" s="25">
        <f t="shared" si="148"/>
        <v>0</v>
      </c>
      <c r="DD115" s="25">
        <f t="shared" si="148"/>
        <v>0</v>
      </c>
      <c r="DE115" s="25">
        <f t="shared" si="148"/>
        <v>0</v>
      </c>
      <c r="DF115" s="25"/>
      <c r="DG115" s="25">
        <f t="shared" si="149"/>
        <v>0</v>
      </c>
      <c r="DH115" s="25">
        <f t="shared" si="149"/>
        <v>0</v>
      </c>
      <c r="DI115" s="25">
        <f t="shared" si="149"/>
        <v>31563483</v>
      </c>
      <c r="DK115" s="78"/>
      <c r="DL115" s="78"/>
      <c r="DM115" s="276">
        <f t="shared" si="98"/>
        <v>411607498</v>
      </c>
      <c r="DN115" s="277">
        <f t="shared" si="99"/>
        <v>142119169</v>
      </c>
      <c r="DO115" s="278">
        <f t="shared" si="69"/>
        <v>0.34527837731469119</v>
      </c>
    </row>
    <row r="116" spans="1:119" ht="91.5" hidden="1" customHeight="1" x14ac:dyDescent="0.25">
      <c r="A116" s="193"/>
      <c r="B116" s="187"/>
      <c r="C116" s="70" t="s">
        <v>326</v>
      </c>
      <c r="D116" s="22" t="s">
        <v>327</v>
      </c>
      <c r="E116" s="93">
        <v>211</v>
      </c>
      <c r="F116" s="24" t="s">
        <v>325</v>
      </c>
      <c r="G116" s="25">
        <f t="shared" si="136"/>
        <v>121093350</v>
      </c>
      <c r="H116" s="36"/>
      <c r="I116" s="25">
        <v>50000000</v>
      </c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>
        <f>47318981+5271083+155508+1089440+2317590+1325109+1257366+1440267+10918006</f>
        <v>71093350</v>
      </c>
      <c r="AB116" s="27">
        <f t="shared" si="109"/>
        <v>9.8786333023241982E-2</v>
      </c>
      <c r="AC116" s="25">
        <f t="shared" si="137"/>
        <v>11962368</v>
      </c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>
        <f>+'[6]JULIO 2016'!$G$179</f>
        <v>11962368</v>
      </c>
      <c r="AX116" s="27">
        <f t="shared" si="111"/>
        <v>0.90121366697675798</v>
      </c>
      <c r="AY116" s="25">
        <f t="shared" si="138"/>
        <v>109130982</v>
      </c>
      <c r="AZ116" s="25">
        <f t="shared" si="139"/>
        <v>0</v>
      </c>
      <c r="BA116" s="25">
        <f t="shared" si="139"/>
        <v>50000000</v>
      </c>
      <c r="BB116" s="25">
        <f t="shared" si="139"/>
        <v>0</v>
      </c>
      <c r="BC116" s="25">
        <f t="shared" si="140"/>
        <v>0</v>
      </c>
      <c r="BD116" s="25">
        <f t="shared" si="140"/>
        <v>0</v>
      </c>
      <c r="BE116" s="25">
        <f t="shared" si="140"/>
        <v>0</v>
      </c>
      <c r="BF116" s="25">
        <f t="shared" si="140"/>
        <v>0</v>
      </c>
      <c r="BG116" s="25">
        <f t="shared" si="140"/>
        <v>0</v>
      </c>
      <c r="BH116" s="25">
        <f t="shared" si="140"/>
        <v>0</v>
      </c>
      <c r="BI116" s="25">
        <f t="shared" si="140"/>
        <v>0</v>
      </c>
      <c r="BJ116" s="25">
        <f t="shared" si="140"/>
        <v>0</v>
      </c>
      <c r="BK116" s="25">
        <f t="shared" si="140"/>
        <v>0</v>
      </c>
      <c r="BL116" s="25">
        <f t="shared" si="140"/>
        <v>0</v>
      </c>
      <c r="BM116" s="25">
        <f t="shared" si="140"/>
        <v>0</v>
      </c>
      <c r="BN116" s="25">
        <f t="shared" si="140"/>
        <v>0</v>
      </c>
      <c r="BO116" s="25"/>
      <c r="BP116" s="25"/>
      <c r="BQ116" s="25">
        <f t="shared" si="141"/>
        <v>0</v>
      </c>
      <c r="BR116" s="25">
        <f t="shared" si="142"/>
        <v>59130982</v>
      </c>
      <c r="BS116" s="27">
        <f t="shared" si="117"/>
        <v>9.8561977185369798E-2</v>
      </c>
      <c r="BT116" s="25">
        <f t="shared" si="143"/>
        <v>11935200</v>
      </c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>
        <f>+'[6]JULIO 2016'!$H$179</f>
        <v>11935200</v>
      </c>
      <c r="CO116" s="27">
        <f t="shared" si="119"/>
        <v>0.90143802281463015</v>
      </c>
      <c r="CP116" s="25">
        <f t="shared" si="144"/>
        <v>109158150</v>
      </c>
      <c r="CQ116" s="25">
        <f t="shared" si="145"/>
        <v>0</v>
      </c>
      <c r="CR116" s="25">
        <f t="shared" si="145"/>
        <v>50000000</v>
      </c>
      <c r="CS116" s="25">
        <f t="shared" si="145"/>
        <v>0</v>
      </c>
      <c r="CT116" s="25">
        <f t="shared" si="145"/>
        <v>0</v>
      </c>
      <c r="CU116" s="25">
        <f t="shared" si="145"/>
        <v>0</v>
      </c>
      <c r="CV116" s="25">
        <f t="shared" si="145"/>
        <v>0</v>
      </c>
      <c r="CW116" s="25">
        <f t="shared" si="146"/>
        <v>0</v>
      </c>
      <c r="CX116" s="25">
        <f t="shared" si="146"/>
        <v>0</v>
      </c>
      <c r="CY116" s="25">
        <f t="shared" si="146"/>
        <v>0</v>
      </c>
      <c r="CZ116" s="25">
        <f t="shared" si="147"/>
        <v>0</v>
      </c>
      <c r="DA116" s="25">
        <f t="shared" si="147"/>
        <v>0</v>
      </c>
      <c r="DB116" s="25">
        <f t="shared" si="147"/>
        <v>0</v>
      </c>
      <c r="DC116" s="25">
        <f t="shared" si="148"/>
        <v>0</v>
      </c>
      <c r="DD116" s="25">
        <f t="shared" si="148"/>
        <v>0</v>
      </c>
      <c r="DE116" s="25">
        <f t="shared" si="148"/>
        <v>0</v>
      </c>
      <c r="DF116" s="25"/>
      <c r="DG116" s="25">
        <f t="shared" si="149"/>
        <v>0</v>
      </c>
      <c r="DH116" s="25">
        <f t="shared" si="149"/>
        <v>0</v>
      </c>
      <c r="DI116" s="25">
        <f t="shared" si="149"/>
        <v>59158150</v>
      </c>
      <c r="DK116" s="78"/>
      <c r="DL116" s="78"/>
      <c r="DM116" s="276">
        <f t="shared" si="98"/>
        <v>121093350</v>
      </c>
      <c r="DN116" s="277">
        <f t="shared" si="99"/>
        <v>11935200</v>
      </c>
      <c r="DO116" s="278">
        <f t="shared" si="69"/>
        <v>9.8561977185369798E-2</v>
      </c>
    </row>
    <row r="117" spans="1:119" ht="44.25" hidden="1" customHeight="1" x14ac:dyDescent="0.25">
      <c r="A117" s="193"/>
      <c r="B117" s="187"/>
      <c r="C117" s="70" t="s">
        <v>328</v>
      </c>
      <c r="D117" s="22" t="s">
        <v>329</v>
      </c>
      <c r="E117" s="93">
        <v>211</v>
      </c>
      <c r="F117" s="24" t="s">
        <v>330</v>
      </c>
      <c r="G117" s="25">
        <f t="shared" si="136"/>
        <v>6500000</v>
      </c>
      <c r="H117" s="36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>
        <f>3000000+2500000+1000000</f>
        <v>6500000</v>
      </c>
      <c r="AB117" s="27">
        <f t="shared" si="109"/>
        <v>0.84613384615384613</v>
      </c>
      <c r="AC117" s="25">
        <f t="shared" si="137"/>
        <v>5499870</v>
      </c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>
        <f>+'[1]AGOSTO 2016'!$AG$231</f>
        <v>5499870</v>
      </c>
      <c r="AX117" s="27">
        <f t="shared" si="111"/>
        <v>0.15386615384615387</v>
      </c>
      <c r="AY117" s="25">
        <f t="shared" si="138"/>
        <v>1000130</v>
      </c>
      <c r="AZ117" s="25">
        <f t="shared" si="139"/>
        <v>0</v>
      </c>
      <c r="BA117" s="25">
        <f t="shared" si="139"/>
        <v>0</v>
      </c>
      <c r="BB117" s="25">
        <f t="shared" si="139"/>
        <v>0</v>
      </c>
      <c r="BC117" s="25">
        <f t="shared" si="140"/>
        <v>0</v>
      </c>
      <c r="BD117" s="25">
        <f t="shared" si="140"/>
        <v>0</v>
      </c>
      <c r="BE117" s="25">
        <f t="shared" si="140"/>
        <v>0</v>
      </c>
      <c r="BF117" s="25">
        <f t="shared" si="140"/>
        <v>0</v>
      </c>
      <c r="BG117" s="25">
        <f t="shared" si="140"/>
        <v>0</v>
      </c>
      <c r="BH117" s="25">
        <f t="shared" si="140"/>
        <v>0</v>
      </c>
      <c r="BI117" s="25">
        <f t="shared" si="140"/>
        <v>0</v>
      </c>
      <c r="BJ117" s="25">
        <f t="shared" si="140"/>
        <v>0</v>
      </c>
      <c r="BK117" s="25">
        <f t="shared" si="140"/>
        <v>0</v>
      </c>
      <c r="BL117" s="25">
        <f t="shared" si="140"/>
        <v>0</v>
      </c>
      <c r="BM117" s="25">
        <f t="shared" si="140"/>
        <v>0</v>
      </c>
      <c r="BN117" s="25">
        <f t="shared" si="140"/>
        <v>0</v>
      </c>
      <c r="BO117" s="25"/>
      <c r="BP117" s="25"/>
      <c r="BQ117" s="25">
        <f t="shared" si="141"/>
        <v>0</v>
      </c>
      <c r="BR117" s="25">
        <f t="shared" si="142"/>
        <v>1000130</v>
      </c>
      <c r="BS117" s="27">
        <f t="shared" si="117"/>
        <v>0.84321353846153846</v>
      </c>
      <c r="BT117" s="25">
        <f t="shared" si="143"/>
        <v>5480888</v>
      </c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>
        <f>+'[1]AGOSTO 2016'!$H$229</f>
        <v>5480888</v>
      </c>
      <c r="CO117" s="27">
        <f t="shared" si="119"/>
        <v>0.15678646153846154</v>
      </c>
      <c r="CP117" s="25">
        <f t="shared" si="144"/>
        <v>1019112</v>
      </c>
      <c r="CQ117" s="25">
        <f t="shared" si="145"/>
        <v>0</v>
      </c>
      <c r="CR117" s="25">
        <f t="shared" si="145"/>
        <v>0</v>
      </c>
      <c r="CS117" s="25">
        <f t="shared" si="145"/>
        <v>0</v>
      </c>
      <c r="CT117" s="25">
        <f t="shared" si="145"/>
        <v>0</v>
      </c>
      <c r="CU117" s="25">
        <f t="shared" si="145"/>
        <v>0</v>
      </c>
      <c r="CV117" s="25">
        <f t="shared" si="145"/>
        <v>0</v>
      </c>
      <c r="CW117" s="25">
        <f t="shared" si="146"/>
        <v>0</v>
      </c>
      <c r="CX117" s="25">
        <f t="shared" si="146"/>
        <v>0</v>
      </c>
      <c r="CY117" s="25">
        <f t="shared" si="146"/>
        <v>0</v>
      </c>
      <c r="CZ117" s="25">
        <f t="shared" si="147"/>
        <v>0</v>
      </c>
      <c r="DA117" s="25">
        <f t="shared" si="147"/>
        <v>0</v>
      </c>
      <c r="DB117" s="25">
        <f t="shared" si="147"/>
        <v>0</v>
      </c>
      <c r="DC117" s="25">
        <f t="shared" si="148"/>
        <v>0</v>
      </c>
      <c r="DD117" s="25">
        <f t="shared" si="148"/>
        <v>0</v>
      </c>
      <c r="DE117" s="25">
        <f t="shared" si="148"/>
        <v>0</v>
      </c>
      <c r="DF117" s="25"/>
      <c r="DG117" s="25">
        <f t="shared" si="149"/>
        <v>0</v>
      </c>
      <c r="DH117" s="25">
        <f t="shared" si="149"/>
        <v>0</v>
      </c>
      <c r="DI117" s="25">
        <f t="shared" si="149"/>
        <v>1019112</v>
      </c>
      <c r="DK117" s="78"/>
      <c r="DL117" s="78"/>
      <c r="DM117" s="276">
        <f t="shared" si="98"/>
        <v>6500000</v>
      </c>
      <c r="DN117" s="277">
        <f t="shared" si="99"/>
        <v>5480888</v>
      </c>
      <c r="DO117" s="278">
        <f t="shared" si="69"/>
        <v>0.84321353846153846</v>
      </c>
    </row>
    <row r="118" spans="1:119" ht="27.75" hidden="1" customHeight="1" x14ac:dyDescent="0.25">
      <c r="A118" s="193"/>
      <c r="B118" s="187"/>
      <c r="C118" s="70" t="s">
        <v>331</v>
      </c>
      <c r="D118" s="22" t="s">
        <v>332</v>
      </c>
      <c r="E118" s="93">
        <v>211</v>
      </c>
      <c r="F118" s="24" t="s">
        <v>76</v>
      </c>
      <c r="G118" s="25">
        <f t="shared" si="136"/>
        <v>5846336</v>
      </c>
      <c r="H118" s="36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>
        <f>5000000+846336</f>
        <v>5846336</v>
      </c>
      <c r="AB118" s="27">
        <f t="shared" si="109"/>
        <v>0.49506990361142433</v>
      </c>
      <c r="AC118" s="25">
        <f t="shared" si="137"/>
        <v>2894345</v>
      </c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>
        <f>+'[7]JUNIO 2016'!$AG$179</f>
        <v>2894345</v>
      </c>
      <c r="AX118" s="27">
        <f t="shared" si="111"/>
        <v>0.50493009638857567</v>
      </c>
      <c r="AY118" s="25">
        <f t="shared" si="138"/>
        <v>2951991</v>
      </c>
      <c r="AZ118" s="25">
        <f t="shared" si="139"/>
        <v>0</v>
      </c>
      <c r="BA118" s="25">
        <f t="shared" si="139"/>
        <v>0</v>
      </c>
      <c r="BB118" s="25">
        <f t="shared" si="139"/>
        <v>0</v>
      </c>
      <c r="BC118" s="25">
        <f t="shared" si="140"/>
        <v>0</v>
      </c>
      <c r="BD118" s="25">
        <f t="shared" si="140"/>
        <v>0</v>
      </c>
      <c r="BE118" s="25">
        <f t="shared" si="140"/>
        <v>0</v>
      </c>
      <c r="BF118" s="25">
        <f t="shared" si="140"/>
        <v>0</v>
      </c>
      <c r="BG118" s="25">
        <f t="shared" si="140"/>
        <v>0</v>
      </c>
      <c r="BH118" s="25">
        <f t="shared" si="140"/>
        <v>0</v>
      </c>
      <c r="BI118" s="25">
        <f t="shared" si="140"/>
        <v>0</v>
      </c>
      <c r="BJ118" s="25">
        <f t="shared" si="140"/>
        <v>0</v>
      </c>
      <c r="BK118" s="25">
        <f t="shared" si="140"/>
        <v>0</v>
      </c>
      <c r="BL118" s="25">
        <f t="shared" si="140"/>
        <v>0</v>
      </c>
      <c r="BM118" s="25">
        <f t="shared" si="140"/>
        <v>0</v>
      </c>
      <c r="BN118" s="25">
        <f t="shared" si="140"/>
        <v>0</v>
      </c>
      <c r="BO118" s="25"/>
      <c r="BP118" s="25"/>
      <c r="BQ118" s="25">
        <f t="shared" si="141"/>
        <v>0</v>
      </c>
      <c r="BR118" s="25">
        <f t="shared" si="142"/>
        <v>2951991</v>
      </c>
      <c r="BS118" s="27">
        <f t="shared" si="117"/>
        <v>0.49506990361142433</v>
      </c>
      <c r="BT118" s="25">
        <f t="shared" si="143"/>
        <v>2894345</v>
      </c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>
        <f>+'[7]JUNIO 2016'!$H$177</f>
        <v>2894345</v>
      </c>
      <c r="CO118" s="27">
        <f t="shared" si="119"/>
        <v>0.50493009638857567</v>
      </c>
      <c r="CP118" s="25">
        <f t="shared" si="144"/>
        <v>2951991</v>
      </c>
      <c r="CQ118" s="25">
        <f t="shared" si="145"/>
        <v>0</v>
      </c>
      <c r="CR118" s="25">
        <f t="shared" si="145"/>
        <v>0</v>
      </c>
      <c r="CS118" s="25">
        <f t="shared" si="145"/>
        <v>0</v>
      </c>
      <c r="CT118" s="25">
        <f t="shared" si="145"/>
        <v>0</v>
      </c>
      <c r="CU118" s="25">
        <f t="shared" si="145"/>
        <v>0</v>
      </c>
      <c r="CV118" s="25">
        <f t="shared" si="145"/>
        <v>0</v>
      </c>
      <c r="CW118" s="25">
        <f t="shared" si="146"/>
        <v>0</v>
      </c>
      <c r="CX118" s="25">
        <f t="shared" si="146"/>
        <v>0</v>
      </c>
      <c r="CY118" s="25">
        <f t="shared" si="146"/>
        <v>0</v>
      </c>
      <c r="CZ118" s="25">
        <f t="shared" si="147"/>
        <v>0</v>
      </c>
      <c r="DA118" s="25">
        <f t="shared" si="147"/>
        <v>0</v>
      </c>
      <c r="DB118" s="25">
        <f t="shared" si="147"/>
        <v>0</v>
      </c>
      <c r="DC118" s="25">
        <f t="shared" si="148"/>
        <v>0</v>
      </c>
      <c r="DD118" s="25">
        <f t="shared" si="148"/>
        <v>0</v>
      </c>
      <c r="DE118" s="25">
        <f t="shared" si="148"/>
        <v>0</v>
      </c>
      <c r="DF118" s="25"/>
      <c r="DG118" s="25">
        <f t="shared" si="149"/>
        <v>0</v>
      </c>
      <c r="DH118" s="25">
        <f t="shared" si="149"/>
        <v>0</v>
      </c>
      <c r="DI118" s="25">
        <f t="shared" si="149"/>
        <v>2951991</v>
      </c>
      <c r="DK118" s="78"/>
      <c r="DL118" s="78"/>
      <c r="DM118" s="276">
        <f t="shared" si="98"/>
        <v>5846336</v>
      </c>
      <c r="DN118" s="277">
        <f t="shared" si="99"/>
        <v>2894345</v>
      </c>
      <c r="DO118" s="278">
        <f t="shared" si="69"/>
        <v>0.49506990361142433</v>
      </c>
    </row>
    <row r="119" spans="1:119" s="59" customFormat="1" ht="29.25" hidden="1" customHeight="1" x14ac:dyDescent="0.25">
      <c r="A119" s="193"/>
      <c r="B119" s="187"/>
      <c r="C119" s="57" t="s">
        <v>333</v>
      </c>
      <c r="D119" s="22" t="s">
        <v>334</v>
      </c>
      <c r="E119" s="91">
        <v>211</v>
      </c>
      <c r="F119" s="24" t="s">
        <v>313</v>
      </c>
      <c r="G119" s="25">
        <f t="shared" si="136"/>
        <v>325200000</v>
      </c>
      <c r="H119" s="30"/>
      <c r="I119" s="56">
        <f>296464791+28735209</f>
        <v>325200000</v>
      </c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>
        <f>28735209-28735209</f>
        <v>0</v>
      </c>
      <c r="V119" s="25"/>
      <c r="W119" s="25"/>
      <c r="X119" s="25"/>
      <c r="Y119" s="25"/>
      <c r="Z119" s="25"/>
      <c r="AB119" s="60">
        <f t="shared" si="109"/>
        <v>0.7836409255842558</v>
      </c>
      <c r="AC119" s="25">
        <f t="shared" si="137"/>
        <v>254840029</v>
      </c>
      <c r="AD119" s="56"/>
      <c r="AE119" s="56"/>
      <c r="AF119" s="56">
        <f>+'[1]AGOSTO 2016'!$M$249</f>
        <v>254840029</v>
      </c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60">
        <f t="shared" si="111"/>
        <v>0.2163590744157442</v>
      </c>
      <c r="AY119" s="25">
        <f t="shared" si="138"/>
        <v>70359971</v>
      </c>
      <c r="AZ119" s="56">
        <f t="shared" si="139"/>
        <v>0</v>
      </c>
      <c r="BA119" s="56">
        <f t="shared" si="139"/>
        <v>70359971</v>
      </c>
      <c r="BB119" s="56">
        <f t="shared" si="139"/>
        <v>0</v>
      </c>
      <c r="BC119" s="56">
        <f t="shared" si="140"/>
        <v>0</v>
      </c>
      <c r="BD119" s="56">
        <f t="shared" si="140"/>
        <v>0</v>
      </c>
      <c r="BE119" s="25">
        <f t="shared" si="140"/>
        <v>0</v>
      </c>
      <c r="BF119" s="56">
        <f t="shared" si="140"/>
        <v>0</v>
      </c>
      <c r="BG119" s="56">
        <f t="shared" si="140"/>
        <v>0</v>
      </c>
      <c r="BH119" s="56">
        <f t="shared" si="140"/>
        <v>0</v>
      </c>
      <c r="BI119" s="56">
        <f t="shared" si="140"/>
        <v>0</v>
      </c>
      <c r="BJ119" s="56">
        <f t="shared" si="140"/>
        <v>0</v>
      </c>
      <c r="BK119" s="56">
        <f t="shared" si="140"/>
        <v>0</v>
      </c>
      <c r="BL119" s="56">
        <f t="shared" si="140"/>
        <v>0</v>
      </c>
      <c r="BM119" s="56">
        <f t="shared" si="140"/>
        <v>0</v>
      </c>
      <c r="BN119" s="56">
        <f t="shared" si="140"/>
        <v>0</v>
      </c>
      <c r="BO119" s="56"/>
      <c r="BP119" s="56"/>
      <c r="BQ119" s="25">
        <f t="shared" si="141"/>
        <v>0</v>
      </c>
      <c r="BR119" s="56">
        <f t="shared" si="142"/>
        <v>0</v>
      </c>
      <c r="BS119" s="60">
        <f t="shared" si="117"/>
        <v>0.66828299200492003</v>
      </c>
      <c r="BT119" s="25">
        <f t="shared" si="143"/>
        <v>217325629</v>
      </c>
      <c r="BU119" s="56"/>
      <c r="BV119" s="56"/>
      <c r="BW119" s="56">
        <f>+'[1]AGOSTO 2016'!$H$247</f>
        <v>217325629</v>
      </c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60">
        <f t="shared" si="119"/>
        <v>0.33171700799507997</v>
      </c>
      <c r="CP119" s="25">
        <f t="shared" si="144"/>
        <v>107874371</v>
      </c>
      <c r="CQ119" s="25">
        <f t="shared" si="145"/>
        <v>0</v>
      </c>
      <c r="CR119" s="56">
        <f t="shared" si="145"/>
        <v>107874371</v>
      </c>
      <c r="CS119" s="56">
        <f t="shared" si="145"/>
        <v>0</v>
      </c>
      <c r="CT119" s="56">
        <f t="shared" si="145"/>
        <v>0</v>
      </c>
      <c r="CU119" s="56">
        <f t="shared" si="145"/>
        <v>0</v>
      </c>
      <c r="CV119" s="25">
        <f t="shared" si="145"/>
        <v>0</v>
      </c>
      <c r="CW119" s="56">
        <f t="shared" si="146"/>
        <v>0</v>
      </c>
      <c r="CX119" s="56">
        <f t="shared" si="146"/>
        <v>0</v>
      </c>
      <c r="CY119" s="25">
        <f t="shared" si="146"/>
        <v>0</v>
      </c>
      <c r="CZ119" s="56">
        <f t="shared" si="147"/>
        <v>0</v>
      </c>
      <c r="DA119" s="56">
        <f t="shared" si="147"/>
        <v>0</v>
      </c>
      <c r="DB119" s="56">
        <f t="shared" si="147"/>
        <v>0</v>
      </c>
      <c r="DC119" s="56">
        <f t="shared" si="148"/>
        <v>0</v>
      </c>
      <c r="DD119" s="56">
        <f t="shared" si="148"/>
        <v>0</v>
      </c>
      <c r="DE119" s="56">
        <f t="shared" si="148"/>
        <v>0</v>
      </c>
      <c r="DF119" s="56"/>
      <c r="DG119" s="56">
        <f t="shared" si="149"/>
        <v>0</v>
      </c>
      <c r="DH119" s="56">
        <f t="shared" si="149"/>
        <v>0</v>
      </c>
      <c r="DI119" s="56">
        <f t="shared" si="149"/>
        <v>0</v>
      </c>
      <c r="DK119" s="78"/>
      <c r="DL119" s="78"/>
      <c r="DM119" s="276">
        <f t="shared" si="98"/>
        <v>325200000</v>
      </c>
      <c r="DN119" s="277">
        <f t="shared" si="99"/>
        <v>217325629</v>
      </c>
      <c r="DO119" s="278">
        <f t="shared" si="69"/>
        <v>0.66828299200492003</v>
      </c>
    </row>
    <row r="120" spans="1:119" s="59" customFormat="1" ht="28.5" hidden="1" customHeight="1" x14ac:dyDescent="0.25">
      <c r="A120" s="193"/>
      <c r="B120" s="188"/>
      <c r="C120" s="57" t="s">
        <v>335</v>
      </c>
      <c r="D120" s="22" t="s">
        <v>336</v>
      </c>
      <c r="E120" s="91">
        <v>211</v>
      </c>
      <c r="F120" s="24" t="s">
        <v>313</v>
      </c>
      <c r="G120" s="25">
        <f t="shared" si="136"/>
        <v>250000000</v>
      </c>
      <c r="H120" s="30"/>
      <c r="I120" s="56"/>
      <c r="J120" s="25"/>
      <c r="K120" s="25"/>
      <c r="L120" s="25"/>
      <c r="M120" s="25"/>
      <c r="N120" s="25"/>
      <c r="O120" s="25"/>
      <c r="P120" s="25"/>
      <c r="Q120" s="25"/>
      <c r="R120" s="25"/>
      <c r="S120" s="25">
        <v>250000000</v>
      </c>
      <c r="T120" s="25"/>
      <c r="U120" s="25"/>
      <c r="V120" s="25"/>
      <c r="W120" s="25"/>
      <c r="X120" s="25"/>
      <c r="Y120" s="25"/>
      <c r="Z120" s="25"/>
      <c r="AB120" s="60">
        <f t="shared" si="109"/>
        <v>1</v>
      </c>
      <c r="AC120" s="25">
        <f t="shared" si="137"/>
        <v>250000000</v>
      </c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>
        <f>+'[7]JUNIO 2016'!$W$197</f>
        <v>250000000</v>
      </c>
      <c r="AQ120" s="56"/>
      <c r="AR120" s="56"/>
      <c r="AS120" s="56"/>
      <c r="AT120" s="56"/>
      <c r="AU120" s="56"/>
      <c r="AV120" s="56"/>
      <c r="AW120" s="56"/>
      <c r="AX120" s="60">
        <f t="shared" si="111"/>
        <v>0</v>
      </c>
      <c r="AY120" s="25">
        <f t="shared" si="138"/>
        <v>0</v>
      </c>
      <c r="AZ120" s="56">
        <f t="shared" si="139"/>
        <v>0</v>
      </c>
      <c r="BA120" s="56">
        <f t="shared" si="139"/>
        <v>0</v>
      </c>
      <c r="BB120" s="56">
        <f t="shared" si="139"/>
        <v>0</v>
      </c>
      <c r="BC120" s="56">
        <f t="shared" si="139"/>
        <v>0</v>
      </c>
      <c r="BD120" s="56">
        <f t="shared" si="139"/>
        <v>0</v>
      </c>
      <c r="BE120" s="56">
        <f t="shared" si="139"/>
        <v>0</v>
      </c>
      <c r="BF120" s="56">
        <f t="shared" si="139"/>
        <v>0</v>
      </c>
      <c r="BG120" s="56">
        <f t="shared" si="139"/>
        <v>0</v>
      </c>
      <c r="BH120" s="56">
        <f t="shared" si="139"/>
        <v>0</v>
      </c>
      <c r="BI120" s="56">
        <f t="shared" si="139"/>
        <v>0</v>
      </c>
      <c r="BJ120" s="56">
        <f t="shared" si="139"/>
        <v>0</v>
      </c>
      <c r="BK120" s="56">
        <f t="shared" si="139"/>
        <v>0</v>
      </c>
      <c r="BL120" s="56">
        <f t="shared" si="139"/>
        <v>0</v>
      </c>
      <c r="BM120" s="56">
        <f t="shared" si="139"/>
        <v>0</v>
      </c>
      <c r="BN120" s="56">
        <f t="shared" si="139"/>
        <v>0</v>
      </c>
      <c r="BO120" s="56"/>
      <c r="BP120" s="56">
        <f>X120-AU120</f>
        <v>0</v>
      </c>
      <c r="BQ120" s="25">
        <f t="shared" si="141"/>
        <v>0</v>
      </c>
      <c r="BR120" s="56">
        <f>Z120-AW120</f>
        <v>0</v>
      </c>
      <c r="BS120" s="60">
        <f t="shared" si="117"/>
        <v>0.99872130800000003</v>
      </c>
      <c r="BT120" s="25">
        <f t="shared" si="143"/>
        <v>249680327</v>
      </c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>
        <f>+'[6]JULIO 2016'!$H$221</f>
        <v>249680327</v>
      </c>
      <c r="CH120" s="56"/>
      <c r="CI120" s="56"/>
      <c r="CJ120" s="56"/>
      <c r="CK120" s="56"/>
      <c r="CL120" s="56"/>
      <c r="CM120" s="56"/>
      <c r="CN120" s="56"/>
      <c r="CO120" s="60">
        <f t="shared" si="119"/>
        <v>1.2786919999999702E-3</v>
      </c>
      <c r="CP120" s="25">
        <f t="shared" si="144"/>
        <v>319673</v>
      </c>
      <c r="CQ120" s="25">
        <f t="shared" si="145"/>
        <v>0</v>
      </c>
      <c r="CR120" s="25">
        <f t="shared" si="145"/>
        <v>0</v>
      </c>
      <c r="CS120" s="25">
        <f t="shared" si="145"/>
        <v>0</v>
      </c>
      <c r="CT120" s="25">
        <f t="shared" si="145"/>
        <v>0</v>
      </c>
      <c r="CU120" s="25">
        <f t="shared" si="145"/>
        <v>0</v>
      </c>
      <c r="CV120" s="25">
        <f t="shared" si="145"/>
        <v>0</v>
      </c>
      <c r="CW120" s="25">
        <f>N120-CB120</f>
        <v>0</v>
      </c>
      <c r="CX120" s="25">
        <f>O120-CC120</f>
        <v>0</v>
      </c>
      <c r="CY120" s="25">
        <f>P120-CD120</f>
        <v>0</v>
      </c>
      <c r="CZ120" s="25">
        <f t="shared" si="147"/>
        <v>0</v>
      </c>
      <c r="DA120" s="25">
        <f t="shared" si="147"/>
        <v>0</v>
      </c>
      <c r="DB120" s="25">
        <f t="shared" si="147"/>
        <v>319673</v>
      </c>
      <c r="DC120" s="25">
        <f>T120-CH120</f>
        <v>0</v>
      </c>
      <c r="DD120" s="25">
        <f>U120-CI120</f>
        <v>0</v>
      </c>
      <c r="DE120" s="25">
        <f>V120-CJ120</f>
        <v>0</v>
      </c>
      <c r="DF120" s="25"/>
      <c r="DG120" s="25">
        <f>X120-CL120</f>
        <v>0</v>
      </c>
      <c r="DH120" s="25">
        <f>Y120-CM120</f>
        <v>0</v>
      </c>
      <c r="DI120" s="25">
        <f>Z120-CN120</f>
        <v>0</v>
      </c>
      <c r="DK120" s="78"/>
      <c r="DL120" s="78"/>
      <c r="DM120" s="276">
        <f t="shared" si="98"/>
        <v>250000000</v>
      </c>
      <c r="DN120" s="277">
        <f t="shared" si="99"/>
        <v>249680327</v>
      </c>
      <c r="DO120" s="278">
        <f t="shared" si="69"/>
        <v>0.99872130800000003</v>
      </c>
    </row>
    <row r="121" spans="1:119" s="59" customFormat="1" ht="50.25" hidden="1" customHeight="1" x14ac:dyDescent="0.25">
      <c r="A121" s="152"/>
      <c r="B121" s="22" t="s">
        <v>337</v>
      </c>
      <c r="C121" s="57" t="s">
        <v>338</v>
      </c>
      <c r="D121" s="22" t="s">
        <v>339</v>
      </c>
      <c r="E121" s="91" t="s">
        <v>340</v>
      </c>
      <c r="F121" s="24" t="s">
        <v>313</v>
      </c>
      <c r="G121" s="25">
        <f t="shared" si="136"/>
        <v>3185000000</v>
      </c>
      <c r="H121" s="30"/>
      <c r="I121" s="56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>
        <f>485000000</f>
        <v>485000000</v>
      </c>
      <c r="U121" s="25"/>
      <c r="V121" s="25"/>
      <c r="W121" s="25"/>
      <c r="X121" s="25">
        <v>2700000000</v>
      </c>
      <c r="Y121" s="25"/>
      <c r="Z121" s="25"/>
      <c r="AB121" s="60">
        <f t="shared" si="109"/>
        <v>1</v>
      </c>
      <c r="AC121" s="25">
        <f t="shared" si="137"/>
        <v>3185000000</v>
      </c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>
        <f>+'[3]ABRIL 2016'!$X$1694</f>
        <v>485000000</v>
      </c>
      <c r="AR121" s="56"/>
      <c r="AS121" s="56"/>
      <c r="AT121" s="56"/>
      <c r="AU121" s="56">
        <f>+'[9]MARZO 2016 ULTIMO'!$AA$1371</f>
        <v>2700000000</v>
      </c>
      <c r="AV121" s="56"/>
      <c r="AW121" s="56"/>
      <c r="AX121" s="60">
        <f t="shared" si="111"/>
        <v>0</v>
      </c>
      <c r="AY121" s="25">
        <f t="shared" si="138"/>
        <v>0</v>
      </c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>
        <f>T121-AQ121</f>
        <v>0</v>
      </c>
      <c r="BM121" s="56"/>
      <c r="BN121" s="56"/>
      <c r="BO121" s="56"/>
      <c r="BP121" s="56">
        <f>X121-AU121</f>
        <v>0</v>
      </c>
      <c r="BQ121" s="25"/>
      <c r="BR121" s="56"/>
      <c r="BS121" s="60">
        <f t="shared" si="117"/>
        <v>0.28313953406593406</v>
      </c>
      <c r="BT121" s="25">
        <f t="shared" si="143"/>
        <v>901799416</v>
      </c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>
        <f>+'[1]AGOSTO 2016'!$H$3122</f>
        <v>472748357</v>
      </c>
      <c r="CI121" s="56"/>
      <c r="CJ121" s="56"/>
      <c r="CK121" s="56"/>
      <c r="CL121" s="56">
        <f>+'[1]AGOSTO 2016'!$H$3113</f>
        <v>429051059</v>
      </c>
      <c r="CM121" s="56"/>
      <c r="CN121" s="56"/>
      <c r="CO121" s="60">
        <f t="shared" si="119"/>
        <v>0.71686046593406594</v>
      </c>
      <c r="CP121" s="25">
        <f t="shared" si="144"/>
        <v>2283200584</v>
      </c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>
        <f>T121-CH121</f>
        <v>12251643</v>
      </c>
      <c r="DD121" s="25"/>
      <c r="DE121" s="25"/>
      <c r="DF121" s="25"/>
      <c r="DG121" s="25">
        <f>X121-CL121</f>
        <v>2270948941</v>
      </c>
      <c r="DH121" s="25"/>
      <c r="DI121" s="25"/>
      <c r="DK121" s="78"/>
      <c r="DL121" s="78"/>
      <c r="DM121" s="276">
        <f t="shared" si="98"/>
        <v>3185000000</v>
      </c>
      <c r="DN121" s="277">
        <f t="shared" si="99"/>
        <v>901799416</v>
      </c>
      <c r="DO121" s="278">
        <f t="shared" si="69"/>
        <v>0.28313953406593406</v>
      </c>
    </row>
    <row r="122" spans="1:119" ht="33.75" hidden="1" customHeight="1" x14ac:dyDescent="0.25">
      <c r="A122" s="193" t="s">
        <v>303</v>
      </c>
      <c r="B122" s="186" t="s">
        <v>341</v>
      </c>
      <c r="C122" s="70" t="s">
        <v>342</v>
      </c>
      <c r="D122" s="22" t="s">
        <v>343</v>
      </c>
      <c r="E122" s="93">
        <v>510</v>
      </c>
      <c r="F122" s="24" t="s">
        <v>344</v>
      </c>
      <c r="G122" s="25">
        <f t="shared" si="136"/>
        <v>91488992</v>
      </c>
      <c r="H122" s="25"/>
      <c r="I122" s="25"/>
      <c r="J122" s="25"/>
      <c r="K122" s="25">
        <f>95000000-3511008</f>
        <v>91488992</v>
      </c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7">
        <f t="shared" si="109"/>
        <v>0.92325861454457825</v>
      </c>
      <c r="AC122" s="25">
        <f t="shared" si="137"/>
        <v>84468000</v>
      </c>
      <c r="AD122" s="25"/>
      <c r="AE122" s="25"/>
      <c r="AF122" s="25"/>
      <c r="AG122" s="25"/>
      <c r="AH122" s="25">
        <f>+'[6]JULIO 2016'!$O$1834</f>
        <v>84468000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7">
        <f t="shared" si="111"/>
        <v>7.6741385455421751E-2</v>
      </c>
      <c r="AY122" s="25">
        <f t="shared" si="138"/>
        <v>7020992</v>
      </c>
      <c r="AZ122" s="25">
        <f t="shared" ref="AZ122:BB127" si="150">H122-AE122</f>
        <v>0</v>
      </c>
      <c r="BA122" s="25">
        <f t="shared" si="150"/>
        <v>0</v>
      </c>
      <c r="BB122" s="25">
        <f t="shared" si="150"/>
        <v>0</v>
      </c>
      <c r="BC122" s="25">
        <f t="shared" ref="BC122:BN127" si="151">+K122-AH122</f>
        <v>7020992</v>
      </c>
      <c r="BD122" s="25">
        <f t="shared" si="151"/>
        <v>0</v>
      </c>
      <c r="BE122" s="25">
        <f t="shared" si="151"/>
        <v>0</v>
      </c>
      <c r="BF122" s="25">
        <f t="shared" si="151"/>
        <v>0</v>
      </c>
      <c r="BG122" s="25">
        <f t="shared" si="151"/>
        <v>0</v>
      </c>
      <c r="BH122" s="25">
        <f t="shared" si="151"/>
        <v>0</v>
      </c>
      <c r="BI122" s="25">
        <f t="shared" si="151"/>
        <v>0</v>
      </c>
      <c r="BJ122" s="25">
        <f t="shared" si="151"/>
        <v>0</v>
      </c>
      <c r="BK122" s="25">
        <f t="shared" si="151"/>
        <v>0</v>
      </c>
      <c r="BL122" s="25">
        <f t="shared" si="151"/>
        <v>0</v>
      </c>
      <c r="BM122" s="25">
        <f t="shared" si="151"/>
        <v>0</v>
      </c>
      <c r="BN122" s="25">
        <f t="shared" si="151"/>
        <v>0</v>
      </c>
      <c r="BO122" s="25"/>
      <c r="BP122" s="25"/>
      <c r="BQ122" s="25">
        <f t="shared" ref="BQ122:BQ127" si="152">Y122-AV122</f>
        <v>0</v>
      </c>
      <c r="BR122" s="25">
        <f t="shared" ref="BR122:BR127" si="153">+Z122-AW122</f>
        <v>0</v>
      </c>
      <c r="BS122" s="27">
        <f t="shared" si="117"/>
        <v>0.89873335799786713</v>
      </c>
      <c r="BT122" s="25">
        <f t="shared" si="143"/>
        <v>82224209</v>
      </c>
      <c r="BU122" s="25"/>
      <c r="BV122" s="25"/>
      <c r="BW122" s="25"/>
      <c r="BX122" s="25"/>
      <c r="BY122" s="25">
        <f>+'[1]AGOSTO 2016'!$H$2440</f>
        <v>82224209</v>
      </c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7">
        <f t="shared" si="119"/>
        <v>0.10126664200213287</v>
      </c>
      <c r="CP122" s="25">
        <f t="shared" si="144"/>
        <v>9264783</v>
      </c>
      <c r="CQ122" s="25">
        <f t="shared" ref="CQ122:CV127" si="154">H122-BV122</f>
        <v>0</v>
      </c>
      <c r="CR122" s="25">
        <f t="shared" si="154"/>
        <v>0</v>
      </c>
      <c r="CS122" s="25">
        <f t="shared" si="154"/>
        <v>0</v>
      </c>
      <c r="CT122" s="25">
        <f t="shared" si="154"/>
        <v>9264783</v>
      </c>
      <c r="CU122" s="25">
        <f t="shared" si="154"/>
        <v>0</v>
      </c>
      <c r="CV122" s="25">
        <f t="shared" si="154"/>
        <v>0</v>
      </c>
      <c r="CW122" s="25">
        <f t="shared" ref="CW122:CY127" si="155">+N122-CB122</f>
        <v>0</v>
      </c>
      <c r="CX122" s="25">
        <f t="shared" si="155"/>
        <v>0</v>
      </c>
      <c r="CY122" s="25">
        <f t="shared" si="155"/>
        <v>0</v>
      </c>
      <c r="CZ122" s="25">
        <f t="shared" ref="CZ122:DB127" si="156">Q122-CE122</f>
        <v>0</v>
      </c>
      <c r="DA122" s="25">
        <f t="shared" si="156"/>
        <v>0</v>
      </c>
      <c r="DB122" s="25">
        <f t="shared" si="156"/>
        <v>0</v>
      </c>
      <c r="DC122" s="25">
        <f t="shared" ref="DC122:DE127" si="157">+T122-CH122</f>
        <v>0</v>
      </c>
      <c r="DD122" s="25">
        <f t="shared" si="157"/>
        <v>0</v>
      </c>
      <c r="DE122" s="25">
        <f t="shared" si="157"/>
        <v>0</v>
      </c>
      <c r="DF122" s="25"/>
      <c r="DG122" s="25">
        <f t="shared" ref="DG122:DI127" si="158">+X122-CL122</f>
        <v>0</v>
      </c>
      <c r="DH122" s="25">
        <f t="shared" si="158"/>
        <v>0</v>
      </c>
      <c r="DI122" s="25">
        <f t="shared" si="158"/>
        <v>0</v>
      </c>
      <c r="DK122" s="78"/>
      <c r="DL122" s="78"/>
      <c r="DM122" s="276">
        <f t="shared" si="98"/>
        <v>91488992</v>
      </c>
      <c r="DN122" s="277">
        <f t="shared" si="99"/>
        <v>82224209</v>
      </c>
      <c r="DO122" s="278">
        <f t="shared" ref="DO122:DO128" si="159">+BS122</f>
        <v>0.89873335799786713</v>
      </c>
    </row>
    <row r="123" spans="1:119" ht="44.25" hidden="1" customHeight="1" x14ac:dyDescent="0.25">
      <c r="A123" s="193"/>
      <c r="B123" s="187"/>
      <c r="C123" s="70" t="s">
        <v>345</v>
      </c>
      <c r="D123" s="22" t="s">
        <v>346</v>
      </c>
      <c r="E123" s="93">
        <v>510</v>
      </c>
      <c r="F123" s="24" t="s">
        <v>344</v>
      </c>
      <c r="G123" s="25">
        <f t="shared" si="136"/>
        <v>105511008</v>
      </c>
      <c r="H123" s="25"/>
      <c r="I123" s="25"/>
      <c r="J123" s="25"/>
      <c r="K123" s="25">
        <f>102000000+3511008</f>
        <v>105511008</v>
      </c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B123" s="27">
        <f t="shared" si="109"/>
        <v>0.96198493336354063</v>
      </c>
      <c r="AC123" s="25">
        <f t="shared" si="137"/>
        <v>101500000</v>
      </c>
      <c r="AD123" s="25"/>
      <c r="AE123" s="25"/>
      <c r="AF123" s="25"/>
      <c r="AG123" s="25"/>
      <c r="AH123" s="25">
        <f>+'[6]JULIO 2016'!$O$1851</f>
        <v>101500000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7">
        <f t="shared" si="111"/>
        <v>3.8015066636459371E-2</v>
      </c>
      <c r="AY123" s="25">
        <f t="shared" si="138"/>
        <v>4011008</v>
      </c>
      <c r="AZ123" s="25">
        <f t="shared" si="150"/>
        <v>0</v>
      </c>
      <c r="BA123" s="25">
        <f t="shared" si="150"/>
        <v>0</v>
      </c>
      <c r="BB123" s="25">
        <f t="shared" si="150"/>
        <v>0</v>
      </c>
      <c r="BC123" s="25">
        <f t="shared" si="151"/>
        <v>4011008</v>
      </c>
      <c r="BD123" s="25">
        <f t="shared" si="151"/>
        <v>0</v>
      </c>
      <c r="BE123" s="25">
        <f t="shared" si="151"/>
        <v>0</v>
      </c>
      <c r="BF123" s="25">
        <f t="shared" si="151"/>
        <v>0</v>
      </c>
      <c r="BG123" s="25">
        <f t="shared" si="151"/>
        <v>0</v>
      </c>
      <c r="BH123" s="25">
        <f t="shared" si="151"/>
        <v>0</v>
      </c>
      <c r="BI123" s="25">
        <f t="shared" si="151"/>
        <v>0</v>
      </c>
      <c r="BJ123" s="25">
        <f t="shared" si="151"/>
        <v>0</v>
      </c>
      <c r="BK123" s="25">
        <f t="shared" si="151"/>
        <v>0</v>
      </c>
      <c r="BL123" s="25">
        <f t="shared" si="151"/>
        <v>0</v>
      </c>
      <c r="BM123" s="25">
        <f t="shared" si="151"/>
        <v>0</v>
      </c>
      <c r="BN123" s="25">
        <f t="shared" si="151"/>
        <v>0</v>
      </c>
      <c r="BO123" s="25"/>
      <c r="BP123" s="25"/>
      <c r="BQ123" s="25">
        <f t="shared" si="152"/>
        <v>0</v>
      </c>
      <c r="BR123" s="25">
        <f t="shared" si="153"/>
        <v>0</v>
      </c>
      <c r="BS123" s="27">
        <f t="shared" si="117"/>
        <v>0.95702875855379943</v>
      </c>
      <c r="BT123" s="25">
        <f t="shared" si="143"/>
        <v>100977069</v>
      </c>
      <c r="BU123" s="25"/>
      <c r="BV123" s="25"/>
      <c r="BW123" s="25"/>
      <c r="BX123" s="25"/>
      <c r="BY123" s="25">
        <f>+'[6]JULIO 2016'!$H$1849</f>
        <v>100977069</v>
      </c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7">
        <f t="shared" si="119"/>
        <v>4.297124144620057E-2</v>
      </c>
      <c r="CP123" s="25">
        <f t="shared" si="144"/>
        <v>4533939</v>
      </c>
      <c r="CQ123" s="25">
        <f t="shared" si="154"/>
        <v>0</v>
      </c>
      <c r="CR123" s="25">
        <f t="shared" si="154"/>
        <v>0</v>
      </c>
      <c r="CS123" s="25">
        <f t="shared" si="154"/>
        <v>0</v>
      </c>
      <c r="CT123" s="25">
        <f t="shared" si="154"/>
        <v>4533939</v>
      </c>
      <c r="CU123" s="25">
        <f t="shared" si="154"/>
        <v>0</v>
      </c>
      <c r="CV123" s="25">
        <f t="shared" si="154"/>
        <v>0</v>
      </c>
      <c r="CW123" s="25">
        <f t="shared" si="155"/>
        <v>0</v>
      </c>
      <c r="CX123" s="25">
        <f t="shared" si="155"/>
        <v>0</v>
      </c>
      <c r="CY123" s="25">
        <f t="shared" si="155"/>
        <v>0</v>
      </c>
      <c r="CZ123" s="25">
        <f t="shared" si="156"/>
        <v>0</v>
      </c>
      <c r="DA123" s="25">
        <f t="shared" si="156"/>
        <v>0</v>
      </c>
      <c r="DB123" s="25">
        <f t="shared" si="156"/>
        <v>0</v>
      </c>
      <c r="DC123" s="25">
        <f t="shared" si="157"/>
        <v>0</v>
      </c>
      <c r="DD123" s="25">
        <f t="shared" si="157"/>
        <v>0</v>
      </c>
      <c r="DE123" s="25">
        <f t="shared" si="157"/>
        <v>0</v>
      </c>
      <c r="DF123" s="25"/>
      <c r="DG123" s="25">
        <f t="shared" si="158"/>
        <v>0</v>
      </c>
      <c r="DH123" s="25">
        <f t="shared" si="158"/>
        <v>0</v>
      </c>
      <c r="DI123" s="25">
        <f t="shared" si="158"/>
        <v>0</v>
      </c>
      <c r="DK123" s="78"/>
      <c r="DL123" s="78"/>
      <c r="DM123" s="276">
        <f t="shared" si="98"/>
        <v>105511008</v>
      </c>
      <c r="DN123" s="277">
        <f t="shared" si="99"/>
        <v>100977069</v>
      </c>
      <c r="DO123" s="278">
        <f t="shared" si="159"/>
        <v>0.95702875855379943</v>
      </c>
    </row>
    <row r="124" spans="1:119" ht="38.25" hidden="1" customHeight="1" x14ac:dyDescent="0.25">
      <c r="A124" s="193"/>
      <c r="B124" s="188"/>
      <c r="C124" s="70" t="s">
        <v>347</v>
      </c>
      <c r="D124" s="22" t="s">
        <v>348</v>
      </c>
      <c r="E124" s="93">
        <v>510</v>
      </c>
      <c r="F124" s="24" t="s">
        <v>344</v>
      </c>
      <c r="G124" s="25">
        <f t="shared" si="136"/>
        <v>10000000</v>
      </c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>
        <v>10000000</v>
      </c>
      <c r="T124" s="25"/>
      <c r="U124" s="25"/>
      <c r="V124" s="25"/>
      <c r="W124" s="25"/>
      <c r="X124" s="25"/>
      <c r="Y124" s="25"/>
      <c r="Z124" s="25"/>
      <c r="AB124" s="27">
        <f t="shared" si="109"/>
        <v>0</v>
      </c>
      <c r="AC124" s="25">
        <f t="shared" si="137"/>
        <v>0</v>
      </c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7">
        <f t="shared" si="111"/>
        <v>1</v>
      </c>
      <c r="AY124" s="25">
        <f t="shared" si="138"/>
        <v>10000000</v>
      </c>
      <c r="AZ124" s="25">
        <f t="shared" si="150"/>
        <v>0</v>
      </c>
      <c r="BA124" s="25">
        <f t="shared" si="150"/>
        <v>0</v>
      </c>
      <c r="BB124" s="25">
        <f t="shared" si="150"/>
        <v>0</v>
      </c>
      <c r="BC124" s="25">
        <f t="shared" si="151"/>
        <v>0</v>
      </c>
      <c r="BD124" s="25">
        <f t="shared" si="151"/>
        <v>0</v>
      </c>
      <c r="BE124" s="25">
        <f t="shared" si="151"/>
        <v>0</v>
      </c>
      <c r="BF124" s="25">
        <f t="shared" si="151"/>
        <v>0</v>
      </c>
      <c r="BG124" s="25">
        <f t="shared" si="151"/>
        <v>0</v>
      </c>
      <c r="BH124" s="25">
        <f t="shared" si="151"/>
        <v>0</v>
      </c>
      <c r="BI124" s="25">
        <f t="shared" si="151"/>
        <v>0</v>
      </c>
      <c r="BJ124" s="25">
        <f t="shared" si="151"/>
        <v>0</v>
      </c>
      <c r="BK124" s="25">
        <f t="shared" si="151"/>
        <v>10000000</v>
      </c>
      <c r="BL124" s="25">
        <f t="shared" si="151"/>
        <v>0</v>
      </c>
      <c r="BM124" s="25">
        <f t="shared" si="151"/>
        <v>0</v>
      </c>
      <c r="BN124" s="25">
        <f t="shared" si="151"/>
        <v>0</v>
      </c>
      <c r="BO124" s="25"/>
      <c r="BP124" s="25"/>
      <c r="BQ124" s="25">
        <f t="shared" si="152"/>
        <v>0</v>
      </c>
      <c r="BR124" s="25">
        <f t="shared" si="153"/>
        <v>0</v>
      </c>
      <c r="BS124" s="27">
        <f t="shared" si="117"/>
        <v>0</v>
      </c>
      <c r="BT124" s="25">
        <f t="shared" si="143"/>
        <v>0</v>
      </c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7">
        <f t="shared" si="119"/>
        <v>1</v>
      </c>
      <c r="CP124" s="25">
        <f t="shared" si="144"/>
        <v>10000000</v>
      </c>
      <c r="CQ124" s="25">
        <f t="shared" si="154"/>
        <v>0</v>
      </c>
      <c r="CR124" s="25">
        <f t="shared" si="154"/>
        <v>0</v>
      </c>
      <c r="CS124" s="25">
        <f t="shared" si="154"/>
        <v>0</v>
      </c>
      <c r="CT124" s="25">
        <f t="shared" si="154"/>
        <v>0</v>
      </c>
      <c r="CU124" s="25">
        <f t="shared" si="154"/>
        <v>0</v>
      </c>
      <c r="CV124" s="25">
        <f t="shared" si="154"/>
        <v>0</v>
      </c>
      <c r="CW124" s="25">
        <f t="shared" si="155"/>
        <v>0</v>
      </c>
      <c r="CX124" s="25">
        <f t="shared" si="155"/>
        <v>0</v>
      </c>
      <c r="CY124" s="25">
        <f t="shared" si="155"/>
        <v>0</v>
      </c>
      <c r="CZ124" s="25">
        <f t="shared" si="156"/>
        <v>0</v>
      </c>
      <c r="DA124" s="25">
        <f t="shared" si="156"/>
        <v>0</v>
      </c>
      <c r="DB124" s="25">
        <f t="shared" si="156"/>
        <v>10000000</v>
      </c>
      <c r="DC124" s="25">
        <f t="shared" si="157"/>
        <v>0</v>
      </c>
      <c r="DD124" s="25">
        <f t="shared" si="157"/>
        <v>0</v>
      </c>
      <c r="DE124" s="25">
        <f t="shared" si="157"/>
        <v>0</v>
      </c>
      <c r="DF124" s="25"/>
      <c r="DG124" s="25">
        <f t="shared" si="158"/>
        <v>0</v>
      </c>
      <c r="DH124" s="25">
        <f t="shared" si="158"/>
        <v>0</v>
      </c>
      <c r="DI124" s="25">
        <f t="shared" si="158"/>
        <v>0</v>
      </c>
      <c r="DK124" s="78"/>
      <c r="DL124" s="78"/>
      <c r="DM124" s="276">
        <f t="shared" si="98"/>
        <v>10000000</v>
      </c>
      <c r="DN124" s="277">
        <f t="shared" si="99"/>
        <v>0</v>
      </c>
      <c r="DO124" s="278">
        <f t="shared" si="159"/>
        <v>0</v>
      </c>
    </row>
    <row r="125" spans="1:119" ht="39.75" hidden="1" customHeight="1" x14ac:dyDescent="0.25">
      <c r="A125" s="193"/>
      <c r="B125" s="90" t="s">
        <v>349</v>
      </c>
      <c r="C125" s="70" t="s">
        <v>350</v>
      </c>
      <c r="D125" s="22" t="s">
        <v>351</v>
      </c>
      <c r="E125" s="93">
        <v>510</v>
      </c>
      <c r="F125" s="24" t="s">
        <v>344</v>
      </c>
      <c r="G125" s="25">
        <f t="shared" si="136"/>
        <v>80000000</v>
      </c>
      <c r="H125" s="25"/>
      <c r="I125" s="25"/>
      <c r="J125" s="25"/>
      <c r="K125" s="25">
        <v>80000000</v>
      </c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B125" s="27">
        <f t="shared" si="109"/>
        <v>1</v>
      </c>
      <c r="AC125" s="25">
        <f t="shared" si="137"/>
        <v>80000000</v>
      </c>
      <c r="AD125" s="25"/>
      <c r="AE125" s="25"/>
      <c r="AF125" s="25"/>
      <c r="AG125" s="25"/>
      <c r="AH125" s="25">
        <f>+'[4]ENERO 2016'!$O$625</f>
        <v>80000000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7">
        <f t="shared" si="111"/>
        <v>0</v>
      </c>
      <c r="AY125" s="25">
        <f t="shared" si="138"/>
        <v>0</v>
      </c>
      <c r="AZ125" s="25">
        <f t="shared" si="150"/>
        <v>0</v>
      </c>
      <c r="BA125" s="25">
        <f t="shared" si="150"/>
        <v>0</v>
      </c>
      <c r="BB125" s="25">
        <f t="shared" si="150"/>
        <v>0</v>
      </c>
      <c r="BC125" s="25">
        <f t="shared" si="151"/>
        <v>0</v>
      </c>
      <c r="BD125" s="25">
        <f t="shared" si="151"/>
        <v>0</v>
      </c>
      <c r="BE125" s="25">
        <f t="shared" si="151"/>
        <v>0</v>
      </c>
      <c r="BF125" s="25">
        <f t="shared" si="151"/>
        <v>0</v>
      </c>
      <c r="BG125" s="25">
        <f t="shared" si="151"/>
        <v>0</v>
      </c>
      <c r="BH125" s="25">
        <f t="shared" si="151"/>
        <v>0</v>
      </c>
      <c r="BI125" s="25">
        <f t="shared" si="151"/>
        <v>0</v>
      </c>
      <c r="BJ125" s="25">
        <f t="shared" si="151"/>
        <v>0</v>
      </c>
      <c r="BK125" s="25">
        <f t="shared" si="151"/>
        <v>0</v>
      </c>
      <c r="BL125" s="25">
        <f t="shared" si="151"/>
        <v>0</v>
      </c>
      <c r="BM125" s="25">
        <f t="shared" si="151"/>
        <v>0</v>
      </c>
      <c r="BN125" s="25">
        <f t="shared" si="151"/>
        <v>0</v>
      </c>
      <c r="BO125" s="25"/>
      <c r="BP125" s="25"/>
      <c r="BQ125" s="25">
        <f t="shared" si="152"/>
        <v>0</v>
      </c>
      <c r="BR125" s="25">
        <f t="shared" si="153"/>
        <v>0</v>
      </c>
      <c r="BS125" s="27">
        <f t="shared" si="117"/>
        <v>0.97971187500000001</v>
      </c>
      <c r="BT125" s="25">
        <f t="shared" si="143"/>
        <v>78376950</v>
      </c>
      <c r="BU125" s="25"/>
      <c r="BV125" s="25"/>
      <c r="BW125" s="25"/>
      <c r="BX125" s="25"/>
      <c r="BY125" s="25">
        <f>+'[9]MARZO 2016 ULTIMO'!$H$1027</f>
        <v>78376950</v>
      </c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7">
        <f t="shared" si="119"/>
        <v>2.028812499999999E-2</v>
      </c>
      <c r="CP125" s="25">
        <f t="shared" si="144"/>
        <v>1623050</v>
      </c>
      <c r="CQ125" s="25">
        <f t="shared" si="154"/>
        <v>0</v>
      </c>
      <c r="CR125" s="25">
        <f t="shared" si="154"/>
        <v>0</v>
      </c>
      <c r="CS125" s="25">
        <f t="shared" si="154"/>
        <v>0</v>
      </c>
      <c r="CT125" s="25">
        <f t="shared" si="154"/>
        <v>1623050</v>
      </c>
      <c r="CU125" s="25">
        <f t="shared" si="154"/>
        <v>0</v>
      </c>
      <c r="CV125" s="25">
        <f t="shared" si="154"/>
        <v>0</v>
      </c>
      <c r="CW125" s="25">
        <f t="shared" si="155"/>
        <v>0</v>
      </c>
      <c r="CX125" s="25">
        <f t="shared" si="155"/>
        <v>0</v>
      </c>
      <c r="CY125" s="25">
        <f t="shared" si="155"/>
        <v>0</v>
      </c>
      <c r="CZ125" s="25">
        <f t="shared" si="156"/>
        <v>0</v>
      </c>
      <c r="DA125" s="25">
        <f t="shared" si="156"/>
        <v>0</v>
      </c>
      <c r="DB125" s="25">
        <f t="shared" si="156"/>
        <v>0</v>
      </c>
      <c r="DC125" s="25">
        <f t="shared" si="157"/>
        <v>0</v>
      </c>
      <c r="DD125" s="25">
        <f t="shared" si="157"/>
        <v>0</v>
      </c>
      <c r="DE125" s="25">
        <f t="shared" si="157"/>
        <v>0</v>
      </c>
      <c r="DF125" s="25"/>
      <c r="DG125" s="25">
        <f t="shared" si="158"/>
        <v>0</v>
      </c>
      <c r="DH125" s="25">
        <f t="shared" si="158"/>
        <v>0</v>
      </c>
      <c r="DI125" s="25">
        <f t="shared" si="158"/>
        <v>0</v>
      </c>
      <c r="DK125" s="78"/>
      <c r="DL125" s="78"/>
      <c r="DM125" s="276">
        <f t="shared" si="98"/>
        <v>80000000</v>
      </c>
      <c r="DN125" s="277">
        <f t="shared" si="99"/>
        <v>78376950</v>
      </c>
      <c r="DO125" s="278">
        <f t="shared" si="159"/>
        <v>0.97971187500000001</v>
      </c>
    </row>
    <row r="126" spans="1:119" ht="39.75" hidden="1" customHeight="1" x14ac:dyDescent="0.25">
      <c r="A126" s="193"/>
      <c r="B126" s="90" t="s">
        <v>352</v>
      </c>
      <c r="C126" s="70" t="s">
        <v>353</v>
      </c>
      <c r="D126" s="22" t="s">
        <v>354</v>
      </c>
      <c r="E126" s="93">
        <v>510</v>
      </c>
      <c r="F126" s="24" t="s">
        <v>355</v>
      </c>
      <c r="G126" s="25">
        <f t="shared" si="136"/>
        <v>110000000</v>
      </c>
      <c r="H126" s="25"/>
      <c r="I126" s="25"/>
      <c r="J126" s="25"/>
      <c r="K126" s="25">
        <v>110000000</v>
      </c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B126" s="27">
        <f t="shared" si="109"/>
        <v>1</v>
      </c>
      <c r="AC126" s="25">
        <f t="shared" si="137"/>
        <v>110000000</v>
      </c>
      <c r="AD126" s="25"/>
      <c r="AE126" s="25"/>
      <c r="AF126" s="25"/>
      <c r="AG126" s="25"/>
      <c r="AH126" s="25">
        <f>+'[6]JULIO 2016'!$O$1895</f>
        <v>110000000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7">
        <f t="shared" si="111"/>
        <v>0</v>
      </c>
      <c r="AY126" s="25">
        <f t="shared" si="138"/>
        <v>0</v>
      </c>
      <c r="AZ126" s="25">
        <f t="shared" si="150"/>
        <v>0</v>
      </c>
      <c r="BA126" s="25">
        <f t="shared" si="150"/>
        <v>0</v>
      </c>
      <c r="BB126" s="25">
        <f t="shared" si="150"/>
        <v>0</v>
      </c>
      <c r="BC126" s="25">
        <f t="shared" si="151"/>
        <v>0</v>
      </c>
      <c r="BD126" s="25">
        <f t="shared" si="151"/>
        <v>0</v>
      </c>
      <c r="BE126" s="25">
        <f t="shared" si="151"/>
        <v>0</v>
      </c>
      <c r="BF126" s="25">
        <f t="shared" si="151"/>
        <v>0</v>
      </c>
      <c r="BG126" s="25">
        <f t="shared" si="151"/>
        <v>0</v>
      </c>
      <c r="BH126" s="25">
        <f t="shared" si="151"/>
        <v>0</v>
      </c>
      <c r="BI126" s="25">
        <f t="shared" si="151"/>
        <v>0</v>
      </c>
      <c r="BJ126" s="25">
        <f t="shared" si="151"/>
        <v>0</v>
      </c>
      <c r="BK126" s="25">
        <f t="shared" si="151"/>
        <v>0</v>
      </c>
      <c r="BL126" s="25">
        <f t="shared" si="151"/>
        <v>0</v>
      </c>
      <c r="BM126" s="25">
        <f t="shared" si="151"/>
        <v>0</v>
      </c>
      <c r="BN126" s="25">
        <f t="shared" si="151"/>
        <v>0</v>
      </c>
      <c r="BO126" s="25"/>
      <c r="BP126" s="25"/>
      <c r="BQ126" s="25">
        <f t="shared" si="152"/>
        <v>0</v>
      </c>
      <c r="BR126" s="25">
        <f t="shared" si="153"/>
        <v>0</v>
      </c>
      <c r="BS126" s="27">
        <f t="shared" si="117"/>
        <v>0.97765769090909094</v>
      </c>
      <c r="BT126" s="25">
        <f t="shared" si="143"/>
        <v>107542346</v>
      </c>
      <c r="BU126" s="25"/>
      <c r="BV126" s="25"/>
      <c r="BW126" s="25"/>
      <c r="BX126" s="25"/>
      <c r="BY126" s="25">
        <f>+'[6]JULIO 2016'!$H$1893</f>
        <v>107542346</v>
      </c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7">
        <f t="shared" si="119"/>
        <v>2.2342309090909063E-2</v>
      </c>
      <c r="CP126" s="25">
        <f t="shared" si="144"/>
        <v>2457654</v>
      </c>
      <c r="CQ126" s="25">
        <f t="shared" si="154"/>
        <v>0</v>
      </c>
      <c r="CR126" s="25">
        <f t="shared" si="154"/>
        <v>0</v>
      </c>
      <c r="CS126" s="25">
        <f t="shared" si="154"/>
        <v>0</v>
      </c>
      <c r="CT126" s="25">
        <f t="shared" si="154"/>
        <v>2457654</v>
      </c>
      <c r="CU126" s="25">
        <f t="shared" si="154"/>
        <v>0</v>
      </c>
      <c r="CV126" s="25">
        <f t="shared" si="154"/>
        <v>0</v>
      </c>
      <c r="CW126" s="25">
        <f t="shared" si="155"/>
        <v>0</v>
      </c>
      <c r="CX126" s="25">
        <f t="shared" si="155"/>
        <v>0</v>
      </c>
      <c r="CY126" s="25">
        <f t="shared" si="155"/>
        <v>0</v>
      </c>
      <c r="CZ126" s="25">
        <f t="shared" si="156"/>
        <v>0</v>
      </c>
      <c r="DA126" s="25">
        <f t="shared" si="156"/>
        <v>0</v>
      </c>
      <c r="DB126" s="25">
        <f t="shared" si="156"/>
        <v>0</v>
      </c>
      <c r="DC126" s="25">
        <f t="shared" si="157"/>
        <v>0</v>
      </c>
      <c r="DD126" s="25">
        <f t="shared" si="157"/>
        <v>0</v>
      </c>
      <c r="DE126" s="25">
        <f t="shared" si="157"/>
        <v>0</v>
      </c>
      <c r="DF126" s="25"/>
      <c r="DG126" s="25">
        <f t="shared" si="158"/>
        <v>0</v>
      </c>
      <c r="DH126" s="25">
        <f t="shared" si="158"/>
        <v>0</v>
      </c>
      <c r="DI126" s="25">
        <f t="shared" si="158"/>
        <v>0</v>
      </c>
      <c r="DK126" s="78"/>
      <c r="DL126" s="78"/>
      <c r="DM126" s="276">
        <f t="shared" si="98"/>
        <v>110000000</v>
      </c>
      <c r="DN126" s="277">
        <f t="shared" si="99"/>
        <v>107542346</v>
      </c>
      <c r="DO126" s="278">
        <f t="shared" si="159"/>
        <v>0.97765769090909094</v>
      </c>
    </row>
    <row r="127" spans="1:119" ht="47.25" hidden="1" customHeight="1" x14ac:dyDescent="0.25">
      <c r="A127" s="194"/>
      <c r="B127" s="90" t="s">
        <v>356</v>
      </c>
      <c r="C127" s="70" t="s">
        <v>357</v>
      </c>
      <c r="D127" s="22" t="s">
        <v>358</v>
      </c>
      <c r="E127" s="93">
        <v>310</v>
      </c>
      <c r="F127" s="24" t="s">
        <v>359</v>
      </c>
      <c r="G127" s="25">
        <f t="shared" si="136"/>
        <v>270168096</v>
      </c>
      <c r="H127" s="25"/>
      <c r="I127" s="25"/>
      <c r="J127" s="25"/>
      <c r="K127" s="25">
        <v>243168096</v>
      </c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>
        <f>25000000+2000000</f>
        <v>27000000</v>
      </c>
      <c r="AB127" s="27">
        <f t="shared" si="109"/>
        <v>0.55439717426886703</v>
      </c>
      <c r="AC127" s="25">
        <f t="shared" si="137"/>
        <v>149780429</v>
      </c>
      <c r="AD127" s="25"/>
      <c r="AE127" s="25"/>
      <c r="AF127" s="25"/>
      <c r="AG127" s="25"/>
      <c r="AH127" s="25">
        <f>+'[6]JULIO 2016'!$O$477</f>
        <v>145193691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>
        <f>+'[1]AGOSTO 2016'!$AG$556</f>
        <v>4586738</v>
      </c>
      <c r="AX127" s="27">
        <f t="shared" si="111"/>
        <v>0.44560282573113297</v>
      </c>
      <c r="AY127" s="25">
        <f t="shared" si="138"/>
        <v>120387667</v>
      </c>
      <c r="AZ127" s="25">
        <f t="shared" si="150"/>
        <v>0</v>
      </c>
      <c r="BA127" s="25">
        <f t="shared" si="150"/>
        <v>0</v>
      </c>
      <c r="BB127" s="25">
        <f t="shared" si="150"/>
        <v>0</v>
      </c>
      <c r="BC127" s="25">
        <f t="shared" si="151"/>
        <v>97974405</v>
      </c>
      <c r="BD127" s="25">
        <f t="shared" si="151"/>
        <v>0</v>
      </c>
      <c r="BE127" s="25">
        <f t="shared" si="151"/>
        <v>0</v>
      </c>
      <c r="BF127" s="25">
        <f t="shared" si="151"/>
        <v>0</v>
      </c>
      <c r="BG127" s="25">
        <f t="shared" si="151"/>
        <v>0</v>
      </c>
      <c r="BH127" s="25">
        <f t="shared" si="151"/>
        <v>0</v>
      </c>
      <c r="BI127" s="25">
        <f t="shared" si="151"/>
        <v>0</v>
      </c>
      <c r="BJ127" s="25">
        <f t="shared" si="151"/>
        <v>0</v>
      </c>
      <c r="BK127" s="25">
        <f t="shared" si="151"/>
        <v>0</v>
      </c>
      <c r="BL127" s="25">
        <f t="shared" si="151"/>
        <v>0</v>
      </c>
      <c r="BM127" s="25">
        <f t="shared" si="151"/>
        <v>0</v>
      </c>
      <c r="BN127" s="25">
        <f t="shared" si="151"/>
        <v>0</v>
      </c>
      <c r="BO127" s="25"/>
      <c r="BP127" s="25"/>
      <c r="BQ127" s="25">
        <f t="shared" si="152"/>
        <v>0</v>
      </c>
      <c r="BR127" s="25">
        <f t="shared" si="153"/>
        <v>22413262</v>
      </c>
      <c r="BS127" s="27">
        <f t="shared" si="117"/>
        <v>0.30695890531796916</v>
      </c>
      <c r="BT127" s="25">
        <f t="shared" si="143"/>
        <v>82930503</v>
      </c>
      <c r="BU127" s="25"/>
      <c r="BV127" s="25"/>
      <c r="BW127" s="25"/>
      <c r="BX127" s="25"/>
      <c r="BY127" s="25">
        <f>'[1]AGOSTO 2016'!$H$554-CN127</f>
        <v>78343765</v>
      </c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>
        <f>'[1]AGOSTO 2016'!$AG$606+'[1]AGOSTO 2016'!$H$615+'[1]AGOSTO 2016'!$H$616</f>
        <v>4586738</v>
      </c>
      <c r="CO127" s="27">
        <f t="shared" si="119"/>
        <v>0.6930410946820309</v>
      </c>
      <c r="CP127" s="25">
        <f t="shared" si="144"/>
        <v>187237593</v>
      </c>
      <c r="CQ127" s="25">
        <f t="shared" si="154"/>
        <v>0</v>
      </c>
      <c r="CR127" s="25">
        <f t="shared" si="154"/>
        <v>0</v>
      </c>
      <c r="CS127" s="25">
        <f t="shared" si="154"/>
        <v>0</v>
      </c>
      <c r="CT127" s="25">
        <f t="shared" si="154"/>
        <v>164824331</v>
      </c>
      <c r="CU127" s="25">
        <f t="shared" si="154"/>
        <v>0</v>
      </c>
      <c r="CV127" s="25">
        <f t="shared" si="154"/>
        <v>0</v>
      </c>
      <c r="CW127" s="25">
        <f t="shared" si="155"/>
        <v>0</v>
      </c>
      <c r="CX127" s="25">
        <f t="shared" si="155"/>
        <v>0</v>
      </c>
      <c r="CY127" s="25">
        <f t="shared" si="155"/>
        <v>0</v>
      </c>
      <c r="CZ127" s="25">
        <f t="shared" si="156"/>
        <v>0</v>
      </c>
      <c r="DA127" s="25">
        <f t="shared" si="156"/>
        <v>0</v>
      </c>
      <c r="DB127" s="25">
        <f t="shared" si="156"/>
        <v>0</v>
      </c>
      <c r="DC127" s="25">
        <f t="shared" si="157"/>
        <v>0</v>
      </c>
      <c r="DD127" s="25">
        <f t="shared" si="157"/>
        <v>0</v>
      </c>
      <c r="DE127" s="25">
        <f t="shared" si="157"/>
        <v>0</v>
      </c>
      <c r="DF127" s="25"/>
      <c r="DG127" s="25">
        <f t="shared" si="158"/>
        <v>0</v>
      </c>
      <c r="DH127" s="25">
        <f t="shared" si="158"/>
        <v>0</v>
      </c>
      <c r="DI127" s="25">
        <f t="shared" si="158"/>
        <v>22413262</v>
      </c>
      <c r="DK127" s="78"/>
      <c r="DL127" s="78"/>
      <c r="DM127" s="276">
        <f t="shared" si="98"/>
        <v>270168096</v>
      </c>
      <c r="DN127" s="277">
        <f t="shared" si="99"/>
        <v>82930503</v>
      </c>
      <c r="DO127" s="278">
        <f t="shared" si="159"/>
        <v>0.30695890531796916</v>
      </c>
    </row>
    <row r="128" spans="1:119" s="47" customFormat="1" ht="18.75" customHeight="1" thickTop="1" thickBot="1" x14ac:dyDescent="0.3">
      <c r="A128" s="98"/>
      <c r="B128" s="241" t="s">
        <v>380</v>
      </c>
      <c r="C128" s="242"/>
      <c r="D128" s="242"/>
      <c r="E128" s="99"/>
      <c r="F128" s="100"/>
      <c r="G128" s="63">
        <f t="shared" ref="G128:Z128" si="160">SUM(G109:G127)</f>
        <v>11761361275</v>
      </c>
      <c r="H128" s="63">
        <f t="shared" si="160"/>
        <v>0</v>
      </c>
      <c r="I128" s="63">
        <f t="shared" si="160"/>
        <v>6445738942</v>
      </c>
      <c r="J128" s="63">
        <f t="shared" si="160"/>
        <v>171003327</v>
      </c>
      <c r="K128" s="63">
        <f t="shared" si="160"/>
        <v>630168096</v>
      </c>
      <c r="L128" s="63">
        <f t="shared" si="160"/>
        <v>0</v>
      </c>
      <c r="M128" s="63">
        <f t="shared" si="160"/>
        <v>54387</v>
      </c>
      <c r="N128" s="63">
        <f t="shared" si="160"/>
        <v>30665828</v>
      </c>
      <c r="O128" s="63">
        <f t="shared" si="160"/>
        <v>1940856</v>
      </c>
      <c r="P128" s="63">
        <f t="shared" si="160"/>
        <v>3438802</v>
      </c>
      <c r="Q128" s="63">
        <f t="shared" si="160"/>
        <v>345941457</v>
      </c>
      <c r="R128" s="63">
        <f t="shared" si="160"/>
        <v>0</v>
      </c>
      <c r="S128" s="63">
        <f t="shared" si="160"/>
        <v>390000000</v>
      </c>
      <c r="T128" s="63">
        <f t="shared" si="160"/>
        <v>485000000</v>
      </c>
      <c r="U128" s="63">
        <f t="shared" si="160"/>
        <v>0</v>
      </c>
      <c r="V128" s="63">
        <f t="shared" si="160"/>
        <v>0</v>
      </c>
      <c r="W128" s="63">
        <f t="shared" si="160"/>
        <v>0</v>
      </c>
      <c r="X128" s="63">
        <f t="shared" si="160"/>
        <v>2700000000</v>
      </c>
      <c r="Y128" s="63">
        <f t="shared" si="160"/>
        <v>0</v>
      </c>
      <c r="Z128" s="63">
        <f t="shared" si="160"/>
        <v>557409580</v>
      </c>
      <c r="AB128" s="43">
        <f t="shared" si="109"/>
        <v>0.75334997053731778</v>
      </c>
      <c r="AC128" s="63">
        <f>SUM(AC109:AC127)</f>
        <v>8860421170</v>
      </c>
      <c r="AD128" s="63"/>
      <c r="AE128" s="63">
        <f t="shared" ref="AE128:AW128" si="161">SUM(AE109:AE127)</f>
        <v>0</v>
      </c>
      <c r="AF128" s="63">
        <f t="shared" si="161"/>
        <v>4566125044</v>
      </c>
      <c r="AG128" s="63">
        <f t="shared" si="161"/>
        <v>52484687</v>
      </c>
      <c r="AH128" s="63">
        <f t="shared" si="161"/>
        <v>521161691</v>
      </c>
      <c r="AI128" s="63">
        <f t="shared" si="161"/>
        <v>0</v>
      </c>
      <c r="AJ128" s="63">
        <f t="shared" si="161"/>
        <v>0</v>
      </c>
      <c r="AK128" s="63">
        <f t="shared" si="161"/>
        <v>0</v>
      </c>
      <c r="AL128" s="63">
        <f t="shared" si="161"/>
        <v>0</v>
      </c>
      <c r="AM128" s="63">
        <f t="shared" si="161"/>
        <v>0</v>
      </c>
      <c r="AN128" s="63">
        <f t="shared" si="161"/>
        <v>164856575</v>
      </c>
      <c r="AO128" s="63">
        <f t="shared" si="161"/>
        <v>0</v>
      </c>
      <c r="AP128" s="63">
        <f t="shared" si="161"/>
        <v>250000000</v>
      </c>
      <c r="AQ128" s="63">
        <f t="shared" si="161"/>
        <v>485000000</v>
      </c>
      <c r="AR128" s="63">
        <f t="shared" si="161"/>
        <v>0</v>
      </c>
      <c r="AS128" s="63">
        <f t="shared" si="161"/>
        <v>0</v>
      </c>
      <c r="AT128" s="63">
        <f t="shared" si="161"/>
        <v>0</v>
      </c>
      <c r="AU128" s="63">
        <f t="shared" si="161"/>
        <v>2700000000</v>
      </c>
      <c r="AV128" s="63">
        <f t="shared" si="161"/>
        <v>0</v>
      </c>
      <c r="AW128" s="63">
        <f t="shared" si="161"/>
        <v>120793173</v>
      </c>
      <c r="AX128" s="43">
        <f t="shared" si="111"/>
        <v>0.24665002946268222</v>
      </c>
      <c r="AY128" s="63">
        <f>SUM(AY109:AY127)</f>
        <v>2900940105</v>
      </c>
      <c r="AZ128" s="63">
        <f t="shared" ref="AZ128:BR128" si="162">SUM(AZ109:AZ127)</f>
        <v>0</v>
      </c>
      <c r="BA128" s="63">
        <f t="shared" si="162"/>
        <v>1879613898</v>
      </c>
      <c r="BB128" s="63">
        <f t="shared" si="162"/>
        <v>118518640</v>
      </c>
      <c r="BC128" s="63">
        <f t="shared" si="162"/>
        <v>109006405</v>
      </c>
      <c r="BD128" s="63">
        <f t="shared" si="162"/>
        <v>0</v>
      </c>
      <c r="BE128" s="63">
        <f t="shared" si="162"/>
        <v>54387</v>
      </c>
      <c r="BF128" s="63">
        <f t="shared" si="162"/>
        <v>30665828</v>
      </c>
      <c r="BG128" s="63">
        <f t="shared" si="162"/>
        <v>1940856</v>
      </c>
      <c r="BH128" s="63">
        <f t="shared" si="162"/>
        <v>3438802</v>
      </c>
      <c r="BI128" s="63">
        <f t="shared" si="162"/>
        <v>181084882</v>
      </c>
      <c r="BJ128" s="63">
        <f t="shared" si="162"/>
        <v>0</v>
      </c>
      <c r="BK128" s="63">
        <f t="shared" si="162"/>
        <v>140000000</v>
      </c>
      <c r="BL128" s="63">
        <f t="shared" si="162"/>
        <v>0</v>
      </c>
      <c r="BM128" s="63">
        <f t="shared" si="162"/>
        <v>0</v>
      </c>
      <c r="BN128" s="63">
        <f t="shared" si="162"/>
        <v>0</v>
      </c>
      <c r="BO128" s="63">
        <f t="shared" si="162"/>
        <v>0</v>
      </c>
      <c r="BP128" s="63">
        <f t="shared" si="162"/>
        <v>0</v>
      </c>
      <c r="BQ128" s="63">
        <f t="shared" si="162"/>
        <v>0</v>
      </c>
      <c r="BR128" s="63">
        <f t="shared" si="162"/>
        <v>436616407</v>
      </c>
      <c r="BS128" s="43">
        <f t="shared" si="117"/>
        <v>0.43907323584871344</v>
      </c>
      <c r="BT128" s="63">
        <f t="shared" ref="BT128:CJ128" si="163">SUM(BT109:BT127)</f>
        <v>5164098953</v>
      </c>
      <c r="BU128" s="63">
        <f t="shared" si="163"/>
        <v>0</v>
      </c>
      <c r="BV128" s="63">
        <f t="shared" si="163"/>
        <v>0</v>
      </c>
      <c r="BW128" s="63">
        <f t="shared" si="163"/>
        <v>3310469883</v>
      </c>
      <c r="BX128" s="63">
        <f t="shared" si="163"/>
        <v>45348340</v>
      </c>
      <c r="BY128" s="63">
        <f t="shared" si="163"/>
        <v>447464339</v>
      </c>
      <c r="BZ128" s="63">
        <f t="shared" si="163"/>
        <v>0</v>
      </c>
      <c r="CA128" s="63">
        <f t="shared" si="163"/>
        <v>0</v>
      </c>
      <c r="CB128" s="63">
        <f t="shared" si="163"/>
        <v>0</v>
      </c>
      <c r="CC128" s="63">
        <f t="shared" si="163"/>
        <v>0</v>
      </c>
      <c r="CD128" s="63">
        <f t="shared" si="163"/>
        <v>0</v>
      </c>
      <c r="CE128" s="63">
        <f t="shared" si="163"/>
        <v>94856575</v>
      </c>
      <c r="CF128" s="63">
        <f t="shared" si="163"/>
        <v>0</v>
      </c>
      <c r="CG128" s="63">
        <f t="shared" si="163"/>
        <v>249680327</v>
      </c>
      <c r="CH128" s="63">
        <f t="shared" si="163"/>
        <v>472748357</v>
      </c>
      <c r="CI128" s="63">
        <f t="shared" si="163"/>
        <v>0</v>
      </c>
      <c r="CJ128" s="63">
        <f t="shared" si="163"/>
        <v>0</v>
      </c>
      <c r="CK128" s="63"/>
      <c r="CL128" s="63">
        <f>SUM(CL109:CL127)</f>
        <v>429051059</v>
      </c>
      <c r="CM128" s="63">
        <f>SUM(CM109:CM127)</f>
        <v>0</v>
      </c>
      <c r="CN128" s="63">
        <f>SUM(CN109:CN127)</f>
        <v>114480073</v>
      </c>
      <c r="CO128" s="43">
        <f t="shared" si="119"/>
        <v>0.56092676415128651</v>
      </c>
      <c r="CP128" s="63">
        <f t="shared" ref="CP128:DI128" si="164">SUM(CP109:CP127)</f>
        <v>6597262322</v>
      </c>
      <c r="CQ128" s="63">
        <f t="shared" si="164"/>
        <v>0</v>
      </c>
      <c r="CR128" s="63">
        <f t="shared" si="164"/>
        <v>3135269059</v>
      </c>
      <c r="CS128" s="63">
        <f t="shared" si="164"/>
        <v>125654987</v>
      </c>
      <c r="CT128" s="63">
        <f t="shared" si="164"/>
        <v>182703757</v>
      </c>
      <c r="CU128" s="63">
        <f t="shared" si="164"/>
        <v>0</v>
      </c>
      <c r="CV128" s="63">
        <f t="shared" si="164"/>
        <v>54387</v>
      </c>
      <c r="CW128" s="63">
        <f t="shared" si="164"/>
        <v>30665828</v>
      </c>
      <c r="CX128" s="63">
        <f t="shared" si="164"/>
        <v>1940856</v>
      </c>
      <c r="CY128" s="63">
        <f t="shared" si="164"/>
        <v>3438802</v>
      </c>
      <c r="CZ128" s="63">
        <f t="shared" si="164"/>
        <v>251084882</v>
      </c>
      <c r="DA128" s="63">
        <f t="shared" si="164"/>
        <v>0</v>
      </c>
      <c r="DB128" s="63">
        <f t="shared" si="164"/>
        <v>140319673</v>
      </c>
      <c r="DC128" s="63">
        <f t="shared" si="164"/>
        <v>12251643</v>
      </c>
      <c r="DD128" s="63">
        <f t="shared" si="164"/>
        <v>0</v>
      </c>
      <c r="DE128" s="63">
        <f t="shared" si="164"/>
        <v>0</v>
      </c>
      <c r="DF128" s="63">
        <f t="shared" si="164"/>
        <v>0</v>
      </c>
      <c r="DG128" s="63">
        <f t="shared" si="164"/>
        <v>2270948941</v>
      </c>
      <c r="DH128" s="63">
        <f t="shared" si="164"/>
        <v>0</v>
      </c>
      <c r="DI128" s="63">
        <f t="shared" si="164"/>
        <v>442929507</v>
      </c>
      <c r="DK128" s="78" t="s">
        <v>396</v>
      </c>
      <c r="DL128" s="78"/>
      <c r="DM128" s="276">
        <f t="shared" si="98"/>
        <v>11761361275</v>
      </c>
      <c r="DN128" s="277">
        <f t="shared" si="99"/>
        <v>5164098953</v>
      </c>
      <c r="DO128" s="278">
        <f t="shared" si="159"/>
        <v>0.43907323584871344</v>
      </c>
    </row>
    <row r="129" spans="3:119" ht="5.25" customHeight="1" thickTop="1" x14ac:dyDescent="0.25">
      <c r="C129" s="101"/>
      <c r="D129" s="101"/>
      <c r="E129" s="101"/>
      <c r="F129" s="101"/>
      <c r="G129" s="102"/>
      <c r="H129" s="102"/>
      <c r="I129" s="103"/>
      <c r="J129" s="102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B129" s="105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105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105"/>
      <c r="BT129" s="106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105"/>
      <c r="CP129" s="51"/>
      <c r="CQ129" s="51"/>
      <c r="CR129" s="51"/>
      <c r="CS129" s="51"/>
      <c r="CT129" s="51"/>
      <c r="CU129" s="51"/>
      <c r="CV129" s="51"/>
      <c r="CW129" s="51"/>
      <c r="CX129" s="51"/>
      <c r="CY129" s="51"/>
      <c r="CZ129" s="51"/>
      <c r="DA129" s="51"/>
      <c r="DB129" s="51"/>
      <c r="DC129" s="51"/>
      <c r="DD129" s="51"/>
      <c r="DE129" s="51"/>
      <c r="DF129" s="51"/>
      <c r="DG129" s="51"/>
      <c r="DH129" s="51"/>
      <c r="DI129" s="51"/>
      <c r="DK129" s="78"/>
      <c r="DL129" s="78"/>
      <c r="DM129" s="78"/>
      <c r="DN129" s="78"/>
      <c r="DO129" s="78"/>
    </row>
    <row r="130" spans="3:119" ht="19.5" customHeight="1" x14ac:dyDescent="0.25">
      <c r="C130" s="210" t="s">
        <v>361</v>
      </c>
      <c r="D130" s="211"/>
      <c r="E130" s="212"/>
      <c r="F130" s="107"/>
      <c r="G130" s="51">
        <f t="shared" ref="G130:Z130" si="165">G20+G58+G91+G108+G128</f>
        <v>22714371004</v>
      </c>
      <c r="H130" s="51">
        <f t="shared" si="165"/>
        <v>200000000</v>
      </c>
      <c r="I130" s="51">
        <f t="shared" si="165"/>
        <v>8727003733</v>
      </c>
      <c r="J130" s="51">
        <f t="shared" si="165"/>
        <v>171003327</v>
      </c>
      <c r="K130" s="51">
        <f t="shared" si="165"/>
        <v>2601016897</v>
      </c>
      <c r="L130" s="51">
        <f t="shared" si="165"/>
        <v>138372986</v>
      </c>
      <c r="M130" s="51">
        <f t="shared" si="165"/>
        <v>54387</v>
      </c>
      <c r="N130" s="51">
        <f t="shared" si="165"/>
        <v>30665828</v>
      </c>
      <c r="O130" s="51">
        <f t="shared" si="165"/>
        <v>1940856</v>
      </c>
      <c r="P130" s="51">
        <f t="shared" si="165"/>
        <v>3438802</v>
      </c>
      <c r="Q130" s="51">
        <f t="shared" si="165"/>
        <v>345941457</v>
      </c>
      <c r="R130" s="51">
        <f t="shared" si="165"/>
        <v>2046332849</v>
      </c>
      <c r="S130" s="51">
        <f t="shared" si="165"/>
        <v>1142029623</v>
      </c>
      <c r="T130" s="51">
        <f t="shared" si="165"/>
        <v>486796640</v>
      </c>
      <c r="U130" s="51">
        <f t="shared" si="165"/>
        <v>1158018872</v>
      </c>
      <c r="V130" s="51">
        <f t="shared" si="165"/>
        <v>1262551657</v>
      </c>
      <c r="W130" s="51">
        <f t="shared" si="165"/>
        <v>51295383</v>
      </c>
      <c r="X130" s="51">
        <f t="shared" si="165"/>
        <v>2700000000</v>
      </c>
      <c r="Y130" s="51">
        <f t="shared" si="165"/>
        <v>204741836</v>
      </c>
      <c r="Z130" s="51">
        <f t="shared" si="165"/>
        <v>1443165871</v>
      </c>
      <c r="AB130" s="108">
        <f>+AC130/G130</f>
        <v>0.79680540107462272</v>
      </c>
      <c r="AC130" s="51">
        <f>AC20+AC58+AC91+AC108+AC128</f>
        <v>18098933498</v>
      </c>
      <c r="AD130" s="51"/>
      <c r="AE130" s="51">
        <f t="shared" ref="AE130:AW130" si="166">AE20+AE58+AE91+AE108+AE128</f>
        <v>200000000</v>
      </c>
      <c r="AF130" s="51">
        <f t="shared" si="166"/>
        <v>6455421194</v>
      </c>
      <c r="AG130" s="51">
        <f t="shared" si="166"/>
        <v>52484687</v>
      </c>
      <c r="AH130" s="51">
        <f t="shared" si="166"/>
        <v>2256942040</v>
      </c>
      <c r="AI130" s="51">
        <f t="shared" si="166"/>
        <v>106280280</v>
      </c>
      <c r="AJ130" s="51">
        <f t="shared" si="166"/>
        <v>0</v>
      </c>
      <c r="AK130" s="51">
        <f t="shared" si="166"/>
        <v>0</v>
      </c>
      <c r="AL130" s="51">
        <f t="shared" si="166"/>
        <v>0</v>
      </c>
      <c r="AM130" s="51">
        <f t="shared" si="166"/>
        <v>0</v>
      </c>
      <c r="AN130" s="51">
        <f t="shared" si="166"/>
        <v>164856575</v>
      </c>
      <c r="AO130" s="51">
        <f t="shared" si="166"/>
        <v>1950159311</v>
      </c>
      <c r="AP130" s="51">
        <f t="shared" si="166"/>
        <v>838849102</v>
      </c>
      <c r="AQ130" s="51">
        <f t="shared" si="166"/>
        <v>486796640</v>
      </c>
      <c r="AR130" s="51">
        <f t="shared" si="166"/>
        <v>879499391</v>
      </c>
      <c r="AS130" s="51">
        <f t="shared" si="166"/>
        <v>1011320055</v>
      </c>
      <c r="AT130" s="51">
        <f t="shared" si="166"/>
        <v>51295383</v>
      </c>
      <c r="AU130" s="51">
        <f t="shared" si="166"/>
        <v>2700000000</v>
      </c>
      <c r="AV130" s="51">
        <f t="shared" si="166"/>
        <v>114321836</v>
      </c>
      <c r="AW130" s="51">
        <f t="shared" si="166"/>
        <v>830707004</v>
      </c>
      <c r="AX130" s="109">
        <f>1-AB130</f>
        <v>0.20319459892537728</v>
      </c>
      <c r="AY130" s="51">
        <f t="shared" ref="AY130:BR130" si="167">AY20+AY58+AY91+AY108+AY128</f>
        <v>4615437506</v>
      </c>
      <c r="AZ130" s="51">
        <f t="shared" si="167"/>
        <v>0</v>
      </c>
      <c r="BA130" s="51">
        <f t="shared" si="167"/>
        <v>2271582539</v>
      </c>
      <c r="BB130" s="51">
        <f t="shared" si="167"/>
        <v>118518640</v>
      </c>
      <c r="BC130" s="51">
        <f t="shared" si="167"/>
        <v>344074857</v>
      </c>
      <c r="BD130" s="51">
        <f t="shared" si="167"/>
        <v>32092706</v>
      </c>
      <c r="BE130" s="51">
        <f t="shared" si="167"/>
        <v>54387</v>
      </c>
      <c r="BF130" s="51">
        <f t="shared" si="167"/>
        <v>30665828</v>
      </c>
      <c r="BG130" s="51">
        <f t="shared" si="167"/>
        <v>1940856</v>
      </c>
      <c r="BH130" s="51">
        <f t="shared" si="167"/>
        <v>3438802</v>
      </c>
      <c r="BI130" s="51">
        <f t="shared" si="167"/>
        <v>181084882</v>
      </c>
      <c r="BJ130" s="51">
        <f t="shared" si="167"/>
        <v>96173538</v>
      </c>
      <c r="BK130" s="51">
        <f t="shared" si="167"/>
        <v>303180521</v>
      </c>
      <c r="BL130" s="51">
        <f t="shared" si="167"/>
        <v>0</v>
      </c>
      <c r="BM130" s="51">
        <f t="shared" si="167"/>
        <v>278519481</v>
      </c>
      <c r="BN130" s="51">
        <f t="shared" si="167"/>
        <v>251231602</v>
      </c>
      <c r="BO130" s="51">
        <f t="shared" si="167"/>
        <v>0</v>
      </c>
      <c r="BP130" s="51">
        <f t="shared" si="167"/>
        <v>0</v>
      </c>
      <c r="BQ130" s="51">
        <f t="shared" si="167"/>
        <v>90420000</v>
      </c>
      <c r="BR130" s="51">
        <f t="shared" si="167"/>
        <v>612458867</v>
      </c>
      <c r="BS130" s="109">
        <f>+BT130/G130</f>
        <v>0.54619201398159922</v>
      </c>
      <c r="BT130" s="51">
        <f t="shared" ref="BT130:CN130" si="168">BT20+BT58+BT91+BT108+BT128</f>
        <v>12406408045</v>
      </c>
      <c r="BU130" s="51">
        <f t="shared" si="168"/>
        <v>0</v>
      </c>
      <c r="BV130" s="51">
        <f t="shared" si="168"/>
        <v>198408143</v>
      </c>
      <c r="BW130" s="51">
        <f t="shared" si="168"/>
        <v>4477466626</v>
      </c>
      <c r="BX130" s="51">
        <f t="shared" si="168"/>
        <v>45348340</v>
      </c>
      <c r="BY130" s="51">
        <f t="shared" si="168"/>
        <v>2020133184</v>
      </c>
      <c r="BZ130" s="51">
        <f t="shared" si="168"/>
        <v>98718903</v>
      </c>
      <c r="CA130" s="51">
        <f t="shared" si="168"/>
        <v>0</v>
      </c>
      <c r="CB130" s="51">
        <f t="shared" si="168"/>
        <v>0</v>
      </c>
      <c r="CC130" s="51">
        <f t="shared" si="168"/>
        <v>0</v>
      </c>
      <c r="CD130" s="51">
        <f t="shared" si="168"/>
        <v>0</v>
      </c>
      <c r="CE130" s="51">
        <f t="shared" si="168"/>
        <v>94856575</v>
      </c>
      <c r="CF130" s="51">
        <f t="shared" si="168"/>
        <v>1270822002</v>
      </c>
      <c r="CG130" s="51">
        <f t="shared" si="168"/>
        <v>801245279</v>
      </c>
      <c r="CH130" s="51">
        <f t="shared" si="168"/>
        <v>474544997</v>
      </c>
      <c r="CI130" s="51">
        <f t="shared" si="168"/>
        <v>813501862</v>
      </c>
      <c r="CJ130" s="51">
        <f t="shared" si="168"/>
        <v>925219270</v>
      </c>
      <c r="CK130" s="51">
        <f t="shared" si="168"/>
        <v>0</v>
      </c>
      <c r="CL130" s="51">
        <f t="shared" si="168"/>
        <v>429051059</v>
      </c>
      <c r="CM130" s="51">
        <f t="shared" si="168"/>
        <v>23350298</v>
      </c>
      <c r="CN130" s="51">
        <f t="shared" si="168"/>
        <v>733741507</v>
      </c>
      <c r="CO130" s="27">
        <f>1-BS130</f>
        <v>0.45380798601840078</v>
      </c>
      <c r="CP130" s="51">
        <f t="shared" ref="CP130:DI130" si="169">CP20+CP58+CP91+CP108+CP128</f>
        <v>10307962959</v>
      </c>
      <c r="CQ130" s="51">
        <f t="shared" si="169"/>
        <v>1591857</v>
      </c>
      <c r="CR130" s="51">
        <f t="shared" si="169"/>
        <v>4249537107</v>
      </c>
      <c r="CS130" s="51">
        <f t="shared" si="169"/>
        <v>125654987</v>
      </c>
      <c r="CT130" s="51">
        <f t="shared" si="169"/>
        <v>580883713</v>
      </c>
      <c r="CU130" s="51">
        <f t="shared" si="169"/>
        <v>39654083</v>
      </c>
      <c r="CV130" s="51">
        <f t="shared" si="169"/>
        <v>54387</v>
      </c>
      <c r="CW130" s="51">
        <f t="shared" si="169"/>
        <v>30665828</v>
      </c>
      <c r="CX130" s="51">
        <f t="shared" si="169"/>
        <v>1940856</v>
      </c>
      <c r="CY130" s="51">
        <f t="shared" si="169"/>
        <v>3438802</v>
      </c>
      <c r="CZ130" s="51">
        <f t="shared" si="169"/>
        <v>251084882</v>
      </c>
      <c r="DA130" s="51">
        <f t="shared" si="169"/>
        <v>775510847</v>
      </c>
      <c r="DB130" s="51">
        <f t="shared" si="169"/>
        <v>340784344</v>
      </c>
      <c r="DC130" s="51">
        <f t="shared" si="169"/>
        <v>12251643</v>
      </c>
      <c r="DD130" s="51">
        <f t="shared" si="169"/>
        <v>344517010</v>
      </c>
      <c r="DE130" s="51">
        <f t="shared" si="169"/>
        <v>337332387</v>
      </c>
      <c r="DF130" s="51">
        <f t="shared" si="169"/>
        <v>51295383</v>
      </c>
      <c r="DG130" s="51">
        <f t="shared" si="169"/>
        <v>2270948941</v>
      </c>
      <c r="DH130" s="51">
        <f t="shared" si="169"/>
        <v>181391538</v>
      </c>
      <c r="DI130" s="51">
        <f t="shared" si="169"/>
        <v>709424364</v>
      </c>
      <c r="DK130" s="279" t="s">
        <v>15</v>
      </c>
      <c r="DL130" s="279"/>
      <c r="DM130" s="276">
        <f>DM20+DM58+DM91+DM108+DM128</f>
        <v>22714371004</v>
      </c>
      <c r="DN130" s="277">
        <f>DN20+DN58+DN91+DN108+DN128</f>
        <v>12406408045</v>
      </c>
      <c r="DO130" s="278">
        <v>0.54620000000000002</v>
      </c>
    </row>
    <row r="131" spans="3:119" ht="5.25" customHeight="1" x14ac:dyDescent="0.25">
      <c r="C131" s="110"/>
      <c r="D131" s="110"/>
      <c r="E131" s="111"/>
      <c r="F131" s="111"/>
      <c r="G131" s="112"/>
      <c r="H131" s="112"/>
      <c r="I131" s="113"/>
      <c r="J131" s="112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  <c r="AB131" s="115"/>
      <c r="AC131" s="116"/>
      <c r="AD131" s="116"/>
      <c r="AE131" s="116"/>
      <c r="AF131" s="116"/>
      <c r="AG131" s="116"/>
      <c r="AH131" s="114"/>
      <c r="AI131" s="114"/>
      <c r="AJ131" s="114"/>
      <c r="AK131" s="114"/>
      <c r="AL131" s="114"/>
      <c r="AM131" s="114"/>
      <c r="AN131" s="114"/>
      <c r="AO131" s="114"/>
      <c r="AP131" s="114"/>
      <c r="AQ131" s="114"/>
      <c r="AR131" s="114"/>
      <c r="AS131" s="114"/>
      <c r="AT131" s="114"/>
      <c r="AU131" s="114"/>
      <c r="AV131" s="114"/>
      <c r="AW131" s="114"/>
      <c r="AX131" s="115"/>
      <c r="AY131" s="116"/>
      <c r="AZ131" s="116"/>
      <c r="BA131" s="116"/>
      <c r="BB131" s="116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5"/>
      <c r="BT131" s="118"/>
      <c r="BU131" s="119"/>
      <c r="BV131" s="119"/>
      <c r="BW131" s="119"/>
      <c r="BX131" s="119"/>
      <c r="BY131" s="114"/>
      <c r="BZ131" s="114"/>
      <c r="CA131" s="114"/>
      <c r="CB131" s="114"/>
      <c r="CC131" s="114"/>
      <c r="CD131" s="114"/>
      <c r="CE131" s="114"/>
      <c r="CF131" s="114"/>
      <c r="CG131" s="114"/>
      <c r="CH131" s="114"/>
      <c r="CI131" s="114"/>
      <c r="CJ131" s="114"/>
      <c r="CK131" s="114"/>
      <c r="CL131" s="114"/>
      <c r="CM131" s="114"/>
      <c r="CN131" s="114"/>
      <c r="CO131" s="27"/>
      <c r="CP131" s="120"/>
      <c r="CQ131" s="116"/>
      <c r="CR131" s="116"/>
      <c r="CS131" s="116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K131" s="78"/>
      <c r="DL131" s="78"/>
      <c r="DM131" s="78"/>
      <c r="DN131" s="78"/>
      <c r="DO131" s="78"/>
    </row>
    <row r="132" spans="3:119" ht="16.5" customHeight="1" x14ac:dyDescent="0.25">
      <c r="C132" s="121"/>
      <c r="D132" s="122" t="s">
        <v>362</v>
      </c>
      <c r="E132" s="115">
        <v>111</v>
      </c>
      <c r="F132" s="123"/>
      <c r="G132" s="124">
        <f>SUMIF($E$4:$E$127,"111",$G$4:$G$127)</f>
        <v>4089098901</v>
      </c>
      <c r="H132" s="125">
        <f>SUMIF($E$4:$E$128,"111",$H$4:$H$128)</f>
        <v>0</v>
      </c>
      <c r="I132" s="125">
        <f>SUMIF($E$4:$E$128,"111",$I$4:$I$128)</f>
        <v>3297003733</v>
      </c>
      <c r="J132" s="124">
        <f>SUMIF($E$4:$E$127,"111",$J$4:$J$127)</f>
        <v>171003327</v>
      </c>
      <c r="K132" s="123">
        <f>SUMIF($E$4:$E$128,"111",$K$4:$K$128)</f>
        <v>0</v>
      </c>
      <c r="L132" s="123">
        <f>SUMIF($E$4:$E$127,"111",$L$4:$L$127)</f>
        <v>0</v>
      </c>
      <c r="M132" s="123">
        <f>SUMIF($E$4:$E$127,"111",$M$4:$M$127)</f>
        <v>54387</v>
      </c>
      <c r="N132" s="123">
        <f>SUMIF($E$4:$E$127,"111",$N$4:$N$127)</f>
        <v>30665828</v>
      </c>
      <c r="O132" s="123">
        <f>SUMIF($E$4:$E$127,"111",$O$4:$O$127)</f>
        <v>1940856</v>
      </c>
      <c r="P132" s="123">
        <f>SUMIF($E$4:$E$127,"111",$P$4:$P$127)</f>
        <v>3438802</v>
      </c>
      <c r="Q132" s="123">
        <f>SUMIF($E$4:$E$127,"111",$Q$4:$Q$127)</f>
        <v>250509069</v>
      </c>
      <c r="R132" s="123">
        <f>SUMIF($E$4:$E$127,"111",$R$4:$R$127)</f>
        <v>0</v>
      </c>
      <c r="S132" s="123">
        <f>SUMIF($E$4:$E$127,"111",$S$4:$S$127)</f>
        <v>0</v>
      </c>
      <c r="T132" s="123">
        <f>SUMIF($E$4:$E$127,"111",$T$4:$T$127)</f>
        <v>0</v>
      </c>
      <c r="U132" s="123">
        <f>SUMIF($E$4:$E$127,"111",$U$4:$U$127)</f>
        <v>0</v>
      </c>
      <c r="V132" s="123">
        <f>SUMIF($E$4:$E$127,"111",$V$4:$V$127)</f>
        <v>0</v>
      </c>
      <c r="W132" s="123"/>
      <c r="X132" s="123">
        <f>SUMIF($E$4:$E$127,"111",$X$4:$X$127)</f>
        <v>0</v>
      </c>
      <c r="Y132" s="123">
        <f>SUMIF($E$4:$E$127,"111",$Y$4:$Y$127)</f>
        <v>0</v>
      </c>
      <c r="Z132" s="123">
        <f>SUMIF($E$4:$E$127,"111",$Z$4:$Z$127)</f>
        <v>334482899</v>
      </c>
      <c r="AB132" s="126">
        <f t="shared" ref="AB132:AB141" si="170">+AC132/G132</f>
        <v>0.60382971377781303</v>
      </c>
      <c r="AC132" s="30">
        <f t="shared" ref="AC132:AC138" si="171">SUM(AE132:AW132)</f>
        <v>2469119419</v>
      </c>
      <c r="AD132" s="124">
        <f>SUMIF($E$4:$E$127,"111",$AD$4:$AD$127)</f>
        <v>0</v>
      </c>
      <c r="AE132" s="124">
        <f>SUMIF($E$4:$E$127,"111",$AE$4:$AE$127)</f>
        <v>0</v>
      </c>
      <c r="AF132" s="124">
        <f>SUMIF($E$4:$E$127,"111",$AF$4:$AF$127)</f>
        <v>2322105290</v>
      </c>
      <c r="AG132" s="124">
        <f>SUMIF($E$4:$E$127,"111",$AG$4:$AG$127)</f>
        <v>52484687</v>
      </c>
      <c r="AH132" s="124">
        <f>SUMIF($E$4:$E$127,"111",$AH$4:$AH$127)</f>
        <v>0</v>
      </c>
      <c r="AI132" s="124">
        <f>SUMIF($E$4:$E$127,"111",$AI$4:$AI$127)</f>
        <v>0</v>
      </c>
      <c r="AJ132" s="124">
        <f>SUMIF($E$4:$E$127,"111",$AJ$4:$AJ$127)</f>
        <v>0</v>
      </c>
      <c r="AK132" s="124">
        <f>SUMIF($E$4:$E$127,"111",$AK$4:$AK$127)</f>
        <v>0</v>
      </c>
      <c r="AL132" s="124">
        <f>SUMIF($E$4:$E$127,"111",$AL$4:$AL$127)</f>
        <v>0</v>
      </c>
      <c r="AM132" s="124">
        <f>SUMIF($E$4:$E$127,"111",$AM$4:$AM$127)</f>
        <v>0</v>
      </c>
      <c r="AN132" s="124">
        <f>SUMIF($E$4:$E$127,"111",$AN$4:$AN$127)</f>
        <v>79856575</v>
      </c>
      <c r="AO132" s="124">
        <f>SUMIF($E$4:$E$127,"111",$AO$4:$AO$127)</f>
        <v>0</v>
      </c>
      <c r="AP132" s="124">
        <f>SUMIF($E$4:$E$127,"111",$AP$4:$AP$127)</f>
        <v>0</v>
      </c>
      <c r="AQ132" s="124">
        <f>SUMIF($E$4:$E$127,"111",$AQ$4:$AQ$127)</f>
        <v>0</v>
      </c>
      <c r="AR132" s="124">
        <f>SUMIF($E$4:$E$127,"111",$AR$4:$AR$127)</f>
        <v>0</v>
      </c>
      <c r="AS132" s="124">
        <f>SUMIF($E$4:$E$127,"111",$AR$4:$AR$127)</f>
        <v>0</v>
      </c>
      <c r="AT132" s="124">
        <f>SUMIF($E$4:$E$127,"111",$AT$4:$AT$127)</f>
        <v>0</v>
      </c>
      <c r="AU132" s="124">
        <f>SUMIF($E$4:$E$127,"111",$AU$4:$AU$127)</f>
        <v>0</v>
      </c>
      <c r="AV132" s="124">
        <f>SUMIF($E$4:$E$127,"111",$AV$4:$AV$127)</f>
        <v>0</v>
      </c>
      <c r="AW132" s="124">
        <f>SUMIF($E$4:$E$127,"111",$AW$4:$AW$127)</f>
        <v>14672867</v>
      </c>
      <c r="AX132" s="109">
        <f t="shared" ref="AX132:AX141" si="172">1-AB132</f>
        <v>0.39617028622218697</v>
      </c>
      <c r="AY132" s="30">
        <f t="shared" ref="AY132:AY138" si="173">SUM(AZ132:BR132)</f>
        <v>1619979482</v>
      </c>
      <c r="AZ132" s="127">
        <f>SUMIF($E$4:$E$127,"111",$AZ$4:$AZ$127)</f>
        <v>0</v>
      </c>
      <c r="BA132" s="127">
        <f>SUMIF($E$4:$E$127,"111",$BA$4:$BA$127)</f>
        <v>974898443</v>
      </c>
      <c r="BB132" s="127">
        <f>SUMIF($E$4:$E$127,"111",$BB$4:$BB$127)</f>
        <v>118518640</v>
      </c>
      <c r="BC132" s="127">
        <f>SUMIF($E$4:$E$127,"111",$BC$4:$BC$127)</f>
        <v>0</v>
      </c>
      <c r="BD132" s="127">
        <f>SUMIF($E$4:$E$127,"111",$BD$4:$BD$127)</f>
        <v>0</v>
      </c>
      <c r="BE132" s="127">
        <f>SUMIF($E$4:$E$127,"111",$BE$4:$BE$127)</f>
        <v>54387</v>
      </c>
      <c r="BF132" s="127">
        <f>SUMIF($E$4:$E$128,"111",$BF$4:$BF$128)</f>
        <v>30665828</v>
      </c>
      <c r="BG132" s="127">
        <f>SUMIF($E$4:$E$127,"111",$BG$4:$BG$127)</f>
        <v>1940856</v>
      </c>
      <c r="BH132" s="127">
        <f>SUMIF($E$4:$E$127,"111",$BH$4:$BH$127)</f>
        <v>3438802</v>
      </c>
      <c r="BI132" s="127">
        <f>SUMIF($E$4:$E$127,"111",$BI$4:$BI$127)</f>
        <v>170652494</v>
      </c>
      <c r="BJ132" s="127">
        <f>SUMIF($E$4:$E$127,"111",$BJ$4:$BJ$127)</f>
        <v>0</v>
      </c>
      <c r="BK132" s="127">
        <f>SUMIF($E$4:$E$127,"111",$BK$4:$BK$127)</f>
        <v>0</v>
      </c>
      <c r="BL132" s="127">
        <f>SUMIF($E$4:$E$127,"111",$BL$4:$BL$127)</f>
        <v>0</v>
      </c>
      <c r="BM132" s="127">
        <f>SUMIF($E$4:$E$127,"111",$BM$4:$BM$127)</f>
        <v>0</v>
      </c>
      <c r="BN132" s="127">
        <f>SUMIF($E$4:$E$127,"111",$BN$4:$BN$127)</f>
        <v>0</v>
      </c>
      <c r="BO132" s="127"/>
      <c r="BP132" s="127">
        <f>SUMIF($E$4:$E$127,"111",$BP$4:$BP$127)</f>
        <v>0</v>
      </c>
      <c r="BQ132" s="127">
        <f>SUMIF($E$4:$E$127,"111",$BQ$4:$BQ$127)</f>
        <v>0</v>
      </c>
      <c r="BR132" s="128">
        <f>SUMIF($E$4:$E$127,"111",$BR$4:$BR$127)</f>
        <v>319810032</v>
      </c>
      <c r="BS132" s="129">
        <f t="shared" ref="BS132:BS141" si="174">+BT132/G132</f>
        <v>0.5146211598074526</v>
      </c>
      <c r="BT132" s="36">
        <f t="shared" ref="BT132:BT137" si="175">SUM(BV132:CN132)</f>
        <v>2104336819</v>
      </c>
      <c r="BU132" s="124">
        <f>SUMIF($E$4:$E$127,"111",$BU$4:$BU$127)</f>
        <v>0</v>
      </c>
      <c r="BV132" s="124">
        <f>SUMIF($E$4:$E$127,"111",$BV$4:$BV$127)</f>
        <v>0</v>
      </c>
      <c r="BW132" s="124">
        <f>SUMIF($E$4:$E$127,"111",$BW$4:$BW$127)</f>
        <v>1964459137</v>
      </c>
      <c r="BX132" s="124">
        <f>SUMIF($E$4:$E$127,"111",$BX$4:$BX$127)</f>
        <v>45348340</v>
      </c>
      <c r="BY132" s="124">
        <f>SUMIF($E$4:$E$127,"111",$BY$4:$BY$127)</f>
        <v>0</v>
      </c>
      <c r="BZ132" s="124">
        <f>SUMIF($E$4:$E$127,"111",$BZ$4:$BZ$127)</f>
        <v>0</v>
      </c>
      <c r="CA132" s="124">
        <f>SUMIF($E$4:$E$127,"111",$CA$4:$CA$127)</f>
        <v>0</v>
      </c>
      <c r="CB132" s="124">
        <f>SUMIF($E$4:$E$127,"111",$CB$4:$CB$127)</f>
        <v>0</v>
      </c>
      <c r="CC132" s="124">
        <f>SUMIF($E$4:$E$127,"111",$CC$4:$CC$127)</f>
        <v>0</v>
      </c>
      <c r="CD132" s="124">
        <f>SUMIF($E$4:$E$127,"111",$CD$4:$CD$127)</f>
        <v>0</v>
      </c>
      <c r="CE132" s="124">
        <f>SUMIF($E$4:$E$127,"111",$CE$4:$CE$127)</f>
        <v>79856575</v>
      </c>
      <c r="CF132" s="124">
        <f>SUMIF($E$4:$E$127,"111",$CF$4:$CF$127)</f>
        <v>0</v>
      </c>
      <c r="CG132" s="124">
        <f>SUMIF($E$4:$E$127,"111",$CG$4:$CG$127)</f>
        <v>0</v>
      </c>
      <c r="CH132" s="124">
        <f>SUMIF($E$4:$E$127,"111",$CH$4:$CH$127)</f>
        <v>0</v>
      </c>
      <c r="CI132" s="124">
        <f>SUMIF($E$4:$E$127,"111",$CI$4:$CI$127)</f>
        <v>0</v>
      </c>
      <c r="CJ132" s="124">
        <f>SUMIF($E$4:$E$127,"111",$CJ$4:$CJ$127)</f>
        <v>0</v>
      </c>
      <c r="CK132" s="124">
        <f>SUMIF($E$4:$E$127,"111",$CK$4:$CK$127)</f>
        <v>0</v>
      </c>
      <c r="CL132" s="124">
        <f>SUMIF($E$4:$E$127,"111",$CL$4:$CL$127)</f>
        <v>0</v>
      </c>
      <c r="CM132" s="124">
        <f>SUMIF($E$4:$E$127,"111",$CM$4:$CM$127)</f>
        <v>0</v>
      </c>
      <c r="CN132" s="130">
        <f>SUMIF($E$4:$E$127,"111",$CN$4:$CN$127)</f>
        <v>14672767</v>
      </c>
      <c r="CO132" s="27">
        <f t="shared" ref="CO132:CO141" si="176">1-BS132</f>
        <v>0.4853788401925474</v>
      </c>
      <c r="CP132" s="30">
        <f t="shared" ref="CP132:CP138" si="177">SUM(CQ132:DI132)</f>
        <v>1984762082</v>
      </c>
      <c r="CQ132" s="127">
        <f>SUMIF($E$4:$E$127,"111",$CQ$4:$CQ$127)</f>
        <v>0</v>
      </c>
      <c r="CR132" s="127">
        <f>SUMIF($E$4:$E$127,"111",$CR$4:$CR$127)</f>
        <v>1332544596</v>
      </c>
      <c r="CS132" s="127">
        <f>SUMIF($E$4:$E$127,"111",$CS$4:$CS$127)</f>
        <v>125654987</v>
      </c>
      <c r="CT132" s="127">
        <f>SUMIF($E$4:$E$127,"111",$CT$4:$CT$127)</f>
        <v>0</v>
      </c>
      <c r="CU132" s="127">
        <f>SUMIF($E$4:$E$127,"111",$CU$4:$CU$127)</f>
        <v>0</v>
      </c>
      <c r="CV132" s="127">
        <f>SUMIF($E$4:$E$127,"111",$CV$4:$CV$127)</f>
        <v>54387</v>
      </c>
      <c r="CW132" s="131">
        <f>SUMIF($E$4:$E$127,"111",$CW$4:$CW$127)</f>
        <v>30665828</v>
      </c>
      <c r="CX132" s="131">
        <f>SUMIF($E$4:$E$127,"111",$CX$4:$CX$127)</f>
        <v>1940856</v>
      </c>
      <c r="CY132" s="131">
        <f>SUMIF($E$4:$E$127,"111",$CY$4:$CY$127)</f>
        <v>3438802</v>
      </c>
      <c r="CZ132" s="131">
        <f>SUMIF($E$4:$E$127,"111",$CZ$4:$CZ$127)</f>
        <v>170652494</v>
      </c>
      <c r="DA132" s="131">
        <f>SUMIF($E$4:$E$127,"111",$DA$4:$DA$127)</f>
        <v>0</v>
      </c>
      <c r="DB132" s="131">
        <f>SUMIF($E$4:$E$127,"111",$DB$4:$DB$127)</f>
        <v>0</v>
      </c>
      <c r="DC132" s="131">
        <f>SUMIF($E$4:$E$127,"111",$DC$4:$DC$127)</f>
        <v>0</v>
      </c>
      <c r="DD132" s="131">
        <f>SUMIF($E$4:$E$127,"111",$DD$4:$DD$127)</f>
        <v>0</v>
      </c>
      <c r="DE132" s="131">
        <f>SUMIF($E$4:$E$127,"111",$DE$4:$DE$127)</f>
        <v>0</v>
      </c>
      <c r="DF132" s="131">
        <f>SUMIF($E$4:$E$127,"111",$DF$4:$DF$127)</f>
        <v>0</v>
      </c>
      <c r="DG132" s="131">
        <f>SUMIF($E$4:$E$127,"111",$DG$4:$DG$127)</f>
        <v>0</v>
      </c>
      <c r="DH132" s="131">
        <f>SUMIF($E$4:$E$127,"111",$DH$4:$DH$127)</f>
        <v>0</v>
      </c>
      <c r="DI132" s="131">
        <f>SUMIF($E$4:$E$127,"111",$DI$4:$DI$127)</f>
        <v>319810132</v>
      </c>
      <c r="DK132" s="280"/>
      <c r="DL132" s="280"/>
      <c r="DM132" s="273" t="s">
        <v>389</v>
      </c>
      <c r="DN132" s="273" t="s">
        <v>390</v>
      </c>
      <c r="DO132" s="274" t="s">
        <v>391</v>
      </c>
    </row>
    <row r="133" spans="3:119" ht="18" customHeight="1" x14ac:dyDescent="0.25">
      <c r="C133" s="132"/>
      <c r="D133" s="122" t="s">
        <v>363</v>
      </c>
      <c r="E133" s="115">
        <v>211</v>
      </c>
      <c r="F133" s="123"/>
      <c r="G133" s="124">
        <f>SUMIF($E$4:$E$127,"211",$G$4:$G$127)</f>
        <v>3820094278</v>
      </c>
      <c r="H133" s="125">
        <f>SUMIF($E$4:$E$128,"211",$H$4:$H$128)</f>
        <v>0</v>
      </c>
      <c r="I133" s="125">
        <f>SUMIF($E$4:$E$128,"211",$I$4:$I$128)</f>
        <v>3148735209</v>
      </c>
      <c r="J133" s="124">
        <f>SUMIF($E$4:$E$127,"211",$J$4:$J$127)</f>
        <v>0</v>
      </c>
      <c r="K133" s="123">
        <f>SUMIF($E$4:$E$127,"211",$K$4:$K$127)</f>
        <v>0</v>
      </c>
      <c r="L133" s="123">
        <f>SUMIF($E$4:$E$127,"211",$L$4:$L$127)</f>
        <v>0</v>
      </c>
      <c r="M133" s="123">
        <f>SUMIF($E$4:$E$127,"211",$M$4:$M$127)</f>
        <v>0</v>
      </c>
      <c r="N133" s="123">
        <f>SUMIF($E$4:$E$127,"211",$N$4:$N$127)</f>
        <v>0</v>
      </c>
      <c r="O133" s="123">
        <f>SUMIF($E$4:$E$127,"211",$O$4:$O$127)</f>
        <v>0</v>
      </c>
      <c r="P133" s="123">
        <f>SUMIF($E$4:$E$127,"211",$P$4:$P$127)</f>
        <v>0</v>
      </c>
      <c r="Q133" s="123">
        <f>SUMIF($E$4:$E$127,"211",$Q$4:$Q$127)</f>
        <v>95432388</v>
      </c>
      <c r="R133" s="123">
        <f>SUMIF($E$4:$E$127,"211",$R$4:$R$127)</f>
        <v>0</v>
      </c>
      <c r="S133" s="123">
        <f>SUMIF($E$4:$E$127,"211",$S$4:$S$127)</f>
        <v>380000000</v>
      </c>
      <c r="T133" s="123">
        <f>SUMIF($E$4:$E$127,"211",$T$4:$T$127)</f>
        <v>0</v>
      </c>
      <c r="U133" s="123">
        <f>SUMIF($E$4:$E$127,"211",$U$4:$U$127)</f>
        <v>0</v>
      </c>
      <c r="V133" s="123">
        <f>SUMIF($E$4:$E$127,"211",$V$4:$V$127)</f>
        <v>0</v>
      </c>
      <c r="W133" s="123"/>
      <c r="X133" s="123">
        <f>SUMIF($E$4:$E$127,"211",$X$4:$X$127)</f>
        <v>0</v>
      </c>
      <c r="Y133" s="123">
        <f>SUMIF($E$4:$E$127,"211",$Y$4:$Y$127)</f>
        <v>0</v>
      </c>
      <c r="Z133" s="123">
        <f>SUMIF($E$4:$E$127,"211",$Z$4:$Z$127)</f>
        <v>195926681</v>
      </c>
      <c r="AB133" s="126">
        <f t="shared" si="170"/>
        <v>0.70169821133403976</v>
      </c>
      <c r="AC133" s="30">
        <f t="shared" si="171"/>
        <v>2680553322</v>
      </c>
      <c r="AD133" s="124">
        <f>SUMIF($E$4:$E$127,"211",$AD$4:$AD$127)</f>
        <v>0</v>
      </c>
      <c r="AE133" s="124">
        <f>SUMIF($E$4:$E$127,"211",$AE$4:$AE$127)</f>
        <v>0</v>
      </c>
      <c r="AF133" s="124">
        <f>SUMIF($E$4:$E$127,"211",$AF$4:$AF$127)</f>
        <v>2244019754</v>
      </c>
      <c r="AG133" s="124">
        <f>SUMIF($E$4:$E$127,"211",$AG$4:$AG$127)</f>
        <v>0</v>
      </c>
      <c r="AH133" s="124">
        <f>SUMIF($E$4:$E$127,"211",$AH$4:$AH$127)</f>
        <v>0</v>
      </c>
      <c r="AI133" s="124">
        <f>SUMIF($E$4:$E$127,"211",$AI$4:$AI$127)</f>
        <v>0</v>
      </c>
      <c r="AJ133" s="124">
        <f>SUMIF($E$4:$E$127,"211",$AJ$4:$AJ$127)</f>
        <v>0</v>
      </c>
      <c r="AK133" s="124">
        <f>SUMIF($E$4:$E$127,"211",$AK$4:$AK$127)</f>
        <v>0</v>
      </c>
      <c r="AL133" s="124">
        <f>SUMIF($E$4:$E$127,"211",$AL$4:$AL$127)</f>
        <v>0</v>
      </c>
      <c r="AM133" s="124">
        <f>SUMIF($E$4:$E$127,"211",$AM$4:$AM$127)</f>
        <v>0</v>
      </c>
      <c r="AN133" s="124">
        <f>SUMIF($E$4:$E$127,"211",$AN$4:$AN$127)</f>
        <v>85000000</v>
      </c>
      <c r="AO133" s="124">
        <f>SUMIF($E$4:$E$127,"211",$AO$4:$AO$127)</f>
        <v>0</v>
      </c>
      <c r="AP133" s="124">
        <f>SUMIF($E$4:$E$127,"211",$AP$4:$AP$127)</f>
        <v>250000000</v>
      </c>
      <c r="AQ133" s="124">
        <f>SUMIF($E$4:$E$127,"211",$AQ$4:$AQ$127)</f>
        <v>0</v>
      </c>
      <c r="AR133" s="124">
        <f>SUMIF($E$4:$E$127,"211",$AR$4:$AR$127)</f>
        <v>0</v>
      </c>
      <c r="AS133" s="124">
        <f>SUMIF($E$4:$E$127,"211",$AS$4:$AS$127)</f>
        <v>0</v>
      </c>
      <c r="AT133" s="124">
        <f>SUMIF($E$4:$E$127,"211",$AT$4:$AT$127)</f>
        <v>0</v>
      </c>
      <c r="AU133" s="124">
        <f>SUMIF($E$4:$E$127,"211",$AU$4:$AU$127)</f>
        <v>0</v>
      </c>
      <c r="AV133" s="124">
        <f>SUMIF($E$4:$E$127,"211",$AV$4:$AV$127)</f>
        <v>0</v>
      </c>
      <c r="AW133" s="124">
        <f>SUMIF($E$4:$E$127,"211",$AW$4:$AW$127)</f>
        <v>101533568</v>
      </c>
      <c r="AX133" s="109">
        <f t="shared" si="172"/>
        <v>0.29830178866596024</v>
      </c>
      <c r="AY133" s="30">
        <f t="shared" si="173"/>
        <v>1139540956</v>
      </c>
      <c r="AZ133" s="127">
        <f>SUMIF($E$4:$E$127,"211",$AZ$4:$AZ$127)</f>
        <v>0</v>
      </c>
      <c r="BA133" s="127">
        <f>SUMIF($E$4:$E$127,"211",$BA$4:$BA$127)</f>
        <v>904715455</v>
      </c>
      <c r="BB133" s="127">
        <f>SUMIF($E$4:$E$127,"211",$BB$4:$BB$127)</f>
        <v>0</v>
      </c>
      <c r="BC133" s="127">
        <f>SUMIF($E$4:$E$127,"211",$BC$4:$BC$127)</f>
        <v>0</v>
      </c>
      <c r="BD133" s="127">
        <f>SUMIF($E$4:$E$127,"211",$BD$4:$BD$127)</f>
        <v>0</v>
      </c>
      <c r="BE133" s="127">
        <f>SUMIF($E$4:$E$127,"211",$BE$4:$BE$127)</f>
        <v>0</v>
      </c>
      <c r="BF133" s="127">
        <f>SUMIF($E$4:$E$127,"211",$BF$4:$BF$127)</f>
        <v>0</v>
      </c>
      <c r="BG133" s="127">
        <f>SUMIF($E$4:$E$127,"211",$BG$4:$BG$127)</f>
        <v>0</v>
      </c>
      <c r="BH133" s="127">
        <f>SUMIF($E$4:$E$127,"211",$BH$4:$BH$127)</f>
        <v>0</v>
      </c>
      <c r="BI133" s="127">
        <f>SUMIF($E$4:$E$127,"211",$BI$4:$BI$127)</f>
        <v>10432388</v>
      </c>
      <c r="BJ133" s="127">
        <f>SUMIF($E$4:$E$127,"211",$BJ$4:$BJ$127)</f>
        <v>0</v>
      </c>
      <c r="BK133" s="127">
        <f>SUMIF($E$4:$E$127,"211",$BK$4:$BK$127)</f>
        <v>130000000</v>
      </c>
      <c r="BL133" s="127">
        <f>SUMIF($E$4:$E$127,"211",$BL$4:$BL$127)</f>
        <v>0</v>
      </c>
      <c r="BM133" s="127">
        <f>SUMIF($E$4:$E$127,"211",$BM$4:$BM$127)</f>
        <v>0</v>
      </c>
      <c r="BN133" s="127">
        <f>SUMIF($E$4:$E$127,"211",$BN$4:$BN$127)</f>
        <v>0</v>
      </c>
      <c r="BO133" s="127"/>
      <c r="BP133" s="127">
        <f>SUMIF($E$4:$E$127,"211",$BP$4:$BP$127)</f>
        <v>0</v>
      </c>
      <c r="BQ133" s="127">
        <f>SUMIF($E$4:$E$127,"211",$BQ$4:$BQ$127)</f>
        <v>0</v>
      </c>
      <c r="BR133" s="128">
        <f>SUMIF($E$4:$E$127,"211",$BR$4:$BR$127)</f>
        <v>94393113</v>
      </c>
      <c r="BS133" s="129">
        <f t="shared" si="174"/>
        <v>0.44656270679610699</v>
      </c>
      <c r="BT133" s="36">
        <f t="shared" si="175"/>
        <v>1705911641</v>
      </c>
      <c r="BU133" s="124">
        <f>SUMIF($E$4:$E$127,"211",$BU$4:$BU$127)</f>
        <v>0</v>
      </c>
      <c r="BV133" s="124">
        <f>SUMIF($E$4:$E$127,"211",$BV$4:$BV$127)</f>
        <v>0</v>
      </c>
      <c r="BW133" s="124">
        <f>SUMIF($E$4:$E$127,"211",$BW$4:$BW$127)</f>
        <v>1346010746</v>
      </c>
      <c r="BX133" s="124">
        <f>SUMIF($E$4:$E$127,"211",$BX$4:$BX$127)</f>
        <v>0</v>
      </c>
      <c r="BY133" s="124">
        <f>SUMIF($E$4:$E$127,"211",$BY$4:$BY$127)</f>
        <v>0</v>
      </c>
      <c r="BZ133" s="124">
        <f>SUMIF($E$4:$E$127,"211",$BZ$4:$BZ$127)</f>
        <v>0</v>
      </c>
      <c r="CA133" s="124">
        <f>SUMIF($E$4:$E$127,"211",$CA$4:$CA$127)</f>
        <v>0</v>
      </c>
      <c r="CB133" s="124">
        <f>SUMIF($E$4:$E$127,"211",$CB$4:$CB$127)</f>
        <v>0</v>
      </c>
      <c r="CC133" s="124">
        <f>SUMIF($E$4:$E$127,"211",$CC$4:$CC$127)</f>
        <v>0</v>
      </c>
      <c r="CD133" s="124">
        <f>SUMIF($E$4:$E$127,"211",$CD$4:$CD$127)</f>
        <v>0</v>
      </c>
      <c r="CE133" s="124">
        <f>SUMIF($E$4:$E$127,"211",$CE$4:$CE$127)</f>
        <v>15000000</v>
      </c>
      <c r="CF133" s="124">
        <f>SUMIF($E$4:$E$127,"211",$CF$4:$CF$127)</f>
        <v>0</v>
      </c>
      <c r="CG133" s="124">
        <f>SUMIF($E$4:$E$127,"211",$CG$4:$CG$127)</f>
        <v>249680327</v>
      </c>
      <c r="CH133" s="124">
        <f>SUMIF($E$4:$E$127,"211",$CH$4:$CH$127)</f>
        <v>0</v>
      </c>
      <c r="CI133" s="124">
        <f>SUMIF($E$4:$E$127,"211",$CI$4:$CI$127)</f>
        <v>0</v>
      </c>
      <c r="CJ133" s="124">
        <f>SUMIF($E$4:$E$127,"211",$CJ$4:$CJ$127)</f>
        <v>0</v>
      </c>
      <c r="CK133" s="124">
        <f>SUMIF($E$4:$E$127,"211",$CK$4:$CK$127)</f>
        <v>0</v>
      </c>
      <c r="CL133" s="124">
        <f>SUMIF($E$4:$E$127,"211",$CL$4:$CL$127)</f>
        <v>0</v>
      </c>
      <c r="CM133" s="124">
        <f>SUMIF($E$4:$E$127,"211",$CM$4:$CM$127)</f>
        <v>0</v>
      </c>
      <c r="CN133" s="130">
        <f>SUMIF($E$4:$E$127,"211",$CN$4:$CN$127)</f>
        <v>95220568</v>
      </c>
      <c r="CO133" s="27">
        <f t="shared" si="176"/>
        <v>0.55343729320389301</v>
      </c>
      <c r="CP133" s="30">
        <f t="shared" ca="1" si="177"/>
        <v>2114182637</v>
      </c>
      <c r="CQ133" s="127">
        <f ca="1">SUMIF($E$4:$E$128,"211",$CQ$4:$CQ$127)</f>
        <v>0</v>
      </c>
      <c r="CR133" s="127">
        <f>SUMIF($E$4:$E$127,"211",$CR$4:$CR$127)</f>
        <v>1802724463</v>
      </c>
      <c r="CS133" s="127">
        <f>SUMIF($E$4:$E$127,"211",$CS$4:$CS$127)</f>
        <v>0</v>
      </c>
      <c r="CT133" s="127">
        <f>SUMIF($E$4:$E$127,"211",$CT$4:$CT$127)</f>
        <v>0</v>
      </c>
      <c r="CU133" s="127">
        <f>SUMIF($E$4:$E$127,"211",$CU$4:$CU$127)</f>
        <v>0</v>
      </c>
      <c r="CV133" s="127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1">
        <f>SUMIF($E$4:$E$127,"211",$CZ$4:$CZ$127)</f>
        <v>80432388</v>
      </c>
      <c r="DA133" s="131">
        <f>SUMIF($E$4:$E$127,"211",$DA$4:$DA$127)</f>
        <v>0</v>
      </c>
      <c r="DB133" s="131">
        <f>SUMIF($E$4:$E$127,"211",$DB$4:$DB$127)</f>
        <v>130319673</v>
      </c>
      <c r="DC133" s="131">
        <f>SUMIF($E$4:$E$127,"211",$DC$4:$DC$127)</f>
        <v>0</v>
      </c>
      <c r="DD133" s="131">
        <f>SUMIF($E$4:$E$127,"211",$DD$4:$DD$127)</f>
        <v>0</v>
      </c>
      <c r="DE133" s="131">
        <f>SUMIF($E$4:$E$127,"211",$DE$4:$DE$127)</f>
        <v>0</v>
      </c>
      <c r="DF133" s="131">
        <f>SUMIF($E$4:$E$127,"211",$DF$4:$DF$127)</f>
        <v>0</v>
      </c>
      <c r="DG133" s="131">
        <f>SUMIF($E$4:$E$127,"211",$DG$4:$DG$127)</f>
        <v>0</v>
      </c>
      <c r="DH133" s="131">
        <f>SUMIF($E$4:$E$127,"211",$DH$4:$DH$127)</f>
        <v>0</v>
      </c>
      <c r="DI133" s="131">
        <f>SUMIF($E$4:$E$127,"211",$DI$4:$DI$127)</f>
        <v>100706113</v>
      </c>
      <c r="DK133" s="78" t="s">
        <v>397</v>
      </c>
      <c r="DL133" s="78"/>
      <c r="DM133" s="276">
        <f>+G132</f>
        <v>4089098901</v>
      </c>
      <c r="DN133" s="276">
        <f>+BT132</f>
        <v>2104336819</v>
      </c>
      <c r="DO133" s="278">
        <f>+BS132</f>
        <v>0.5146211598074526</v>
      </c>
    </row>
    <row r="134" spans="3:119" ht="16.5" customHeight="1" x14ac:dyDescent="0.25">
      <c r="C134" s="132"/>
      <c r="D134" s="122" t="s">
        <v>364</v>
      </c>
      <c r="E134" s="115">
        <v>310</v>
      </c>
      <c r="F134" s="123"/>
      <c r="G134" s="124">
        <f>SUMIF($E$4:$E$127,"310",$G$4:$G$128)</f>
        <v>1084368096</v>
      </c>
      <c r="H134" s="125">
        <f>SUMIF($E$4:$E$127,"310",$H$4:$H$127)</f>
        <v>0</v>
      </c>
      <c r="I134" s="125">
        <f>SUMIF($E$4:$E$127,"310",$I$4:$I$127)</f>
        <v>450000000</v>
      </c>
      <c r="J134" s="124">
        <f>SUMIF($E$4:$E$127,"310",$J$4:$J$127)</f>
        <v>0</v>
      </c>
      <c r="K134" s="123">
        <f>SUMIF($E$4:$E$127,"310",$K$4:$K$127)</f>
        <v>557368096</v>
      </c>
      <c r="L134" s="123">
        <f>SUMIF($E$4:$E$127,"310",$L$4:$L$127)</f>
        <v>0</v>
      </c>
      <c r="M134" s="123">
        <f>SUMIF($E$4:$E$127,"310",$M$4:$M$127)</f>
        <v>0</v>
      </c>
      <c r="N134" s="123">
        <f>SUMIF($E$4:$E$127,"310",$N$4:$N$127)</f>
        <v>0</v>
      </c>
      <c r="O134" s="123">
        <f>SUMIF($E$4:$E$127,"310",$O$4:$O$127)</f>
        <v>0</v>
      </c>
      <c r="P134" s="123">
        <f>SUMIF($E$4:$E$127,"310",$P$4:$P$127)</f>
        <v>0</v>
      </c>
      <c r="Q134" s="123">
        <f>SUMIF($E$4:$E$127,"310",$Q$4:$Q$127)</f>
        <v>0</v>
      </c>
      <c r="R134" s="123">
        <f>SUMIF($E$4:$E$127,"310",$R$4:$R$127)</f>
        <v>0</v>
      </c>
      <c r="S134" s="123">
        <f>SUMIF($E$4:$E$127,"310",$S$4:$S$127)</f>
        <v>0</v>
      </c>
      <c r="T134" s="123">
        <f>SUMIF($E$4:$E$127,"310",$T$4:$T$127)</f>
        <v>0</v>
      </c>
      <c r="U134" s="123">
        <f>SUMIF($E$4:$E$127,"310",$U$4:$U$127)</f>
        <v>0</v>
      </c>
      <c r="V134" s="123">
        <f>SUMIF($E$4:$E$119,"310",$V$4:$V$119)</f>
        <v>0</v>
      </c>
      <c r="W134" s="123"/>
      <c r="X134" s="123">
        <f>SUMIF($E$4:$E$127,"310",$X$4:$X$127)</f>
        <v>0</v>
      </c>
      <c r="Y134" s="123">
        <f>SUMIF($E$4:$E$127,"310",$Y$4:$Y$127)</f>
        <v>0</v>
      </c>
      <c r="Z134" s="123">
        <f>SUMIF($E$4:$E$127,"310",$Z$4:$Z$127)</f>
        <v>77000000</v>
      </c>
      <c r="AB134" s="126">
        <f t="shared" si="170"/>
        <v>0.51814165878963669</v>
      </c>
      <c r="AC134" s="36">
        <f t="shared" si="171"/>
        <v>561856284</v>
      </c>
      <c r="AD134" s="124">
        <f>SUMIF($E$4:$E$127,"310",$AD$4:$AD$127)</f>
        <v>0</v>
      </c>
      <c r="AE134" s="124">
        <f>SUMIF($E$4:$E$127,"310",$AE$4:$AE$127)</f>
        <v>0</v>
      </c>
      <c r="AF134" s="124">
        <f>SUMIF($E$4:$E$127,"310",$AF$4:$AF$127)</f>
        <v>75171597</v>
      </c>
      <c r="AG134" s="124">
        <f>SUMIF($E$4:$E$127,"310",$AG$4:$AG$127)</f>
        <v>0</v>
      </c>
      <c r="AH134" s="124">
        <f>SUMIF($E$4:$E$127,"310",$AH$4:$AH$127)</f>
        <v>461594602</v>
      </c>
      <c r="AI134" s="124">
        <f>SUMIF($E$4:$E$127,"310",$AI$4:$AI$127)</f>
        <v>0</v>
      </c>
      <c r="AJ134" s="124">
        <f>SUMIF($E$4:$E$127,"310",$AJ$4:$AJ$127)</f>
        <v>0</v>
      </c>
      <c r="AK134" s="124">
        <f>SUMIF($E$4:$E$127,"310",$AK$4:$AK$127)</f>
        <v>0</v>
      </c>
      <c r="AL134" s="124">
        <f>SUMIF($E$4:$E$127,"310",$AL$4:$AL$127)</f>
        <v>0</v>
      </c>
      <c r="AM134" s="124">
        <f>SUMIF($E$4:$E$127,"310",$AM$4:$AM$127)</f>
        <v>0</v>
      </c>
      <c r="AN134" s="124">
        <f>SUMIF($E$4:$E$127,"310",$AN$4:$AN$127)</f>
        <v>0</v>
      </c>
      <c r="AO134" s="124">
        <f>SUMIF($E$4:$E$127,"310",$AO$4:$AO$127)</f>
        <v>0</v>
      </c>
      <c r="AP134" s="124">
        <f>SUMIF($E$4:$E$127,"310",$AP$4:$AP$127)</f>
        <v>0</v>
      </c>
      <c r="AQ134" s="124">
        <f>SUMIF($E$4:$E$127,"310",$AQ$4:$AQ$127)</f>
        <v>0</v>
      </c>
      <c r="AR134" s="124">
        <f>SUMIF($E$4:$E$127,"310",$AR$4:$AR$127)</f>
        <v>0</v>
      </c>
      <c r="AS134" s="124">
        <f>SUMIF($E$4:$E$127,"310",$AS$4:$AS$127)</f>
        <v>0</v>
      </c>
      <c r="AT134" s="124">
        <f>SUMIF($E$4:$E$127,"310",$AT$4:$AT$127)</f>
        <v>0</v>
      </c>
      <c r="AU134" s="124">
        <f>SUMIF($E$4:$E$127,"310",$AU$4:$AU$127)</f>
        <v>0</v>
      </c>
      <c r="AV134" s="124">
        <f>SUMIF($E$4:$E$127,"310",$AV$4:$AV$127)</f>
        <v>0</v>
      </c>
      <c r="AW134" s="124">
        <f>SUMIF($E$4:$E$127,"310",$AW$4:$AW$127)</f>
        <v>25090085</v>
      </c>
      <c r="AX134" s="109">
        <f t="shared" si="172"/>
        <v>0.48185834121036331</v>
      </c>
      <c r="AY134" s="30">
        <f t="shared" si="173"/>
        <v>522511812</v>
      </c>
      <c r="AZ134" s="127">
        <f>SUMIF($E$4:$E$127,"310",$AZ$4:$AZ$127)</f>
        <v>0</v>
      </c>
      <c r="BA134" s="127">
        <f>SUMIF($E$4:$E$127,"310",$BA$4:$BA$127)</f>
        <v>374828403</v>
      </c>
      <c r="BB134" s="127">
        <f>SUMIF($E$4:$E$127,"310",$BB$4:$BB$127)</f>
        <v>0</v>
      </c>
      <c r="BC134" s="127">
        <f>SUMIF($E$4:$E$127,"310",$BC$4:$BC$127)</f>
        <v>95773494</v>
      </c>
      <c r="BD134" s="127">
        <f>SUMIF($E$4:$E$127,"310",$BD$4:$BD$127)</f>
        <v>0</v>
      </c>
      <c r="BE134" s="127">
        <f>SUMIF($E$4:$E$127,"310",$BE$4:$BE$127)</f>
        <v>0</v>
      </c>
      <c r="BF134" s="127">
        <f>SUMIF($E$4:$E$127,"310",$BF$4:$BF$127)</f>
        <v>0</v>
      </c>
      <c r="BG134" s="127">
        <f>SUMIF($E$4:$E$127,"310",$BG$4:$BG$127)</f>
        <v>0</v>
      </c>
      <c r="BH134" s="127">
        <f>SUMIF($E$4:$E$127,"310",$BH$4:$BH$127)</f>
        <v>0</v>
      </c>
      <c r="BI134" s="127">
        <f>SUMIF($E$4:$E$127,"310",$BI$4:$BI$127)</f>
        <v>0</v>
      </c>
      <c r="BJ134" s="127">
        <f>SUMIF($E$4:$E$127,"310",$BJ$4:$BJ$127)</f>
        <v>0</v>
      </c>
      <c r="BK134" s="127">
        <f>SUMIF($E$4:$E$127,"310",$BK$4:$BK$127)</f>
        <v>0</v>
      </c>
      <c r="BL134" s="127">
        <f>SUMIF($E$4:$E$127,"310",$BL$4:$BL$127)</f>
        <v>0</v>
      </c>
      <c r="BM134" s="127">
        <f>SUMIF($E$4:$E$127,"310",$BM$4:$BM$127)</f>
        <v>0</v>
      </c>
      <c r="BN134" s="127">
        <f>SUMIF($E$4:$E$127,"310",$BN$4:$BN$127)</f>
        <v>0</v>
      </c>
      <c r="BO134" s="127">
        <f>SUMIF($E$4:$E$127,"310",$BN$4:$BN$127)</f>
        <v>0</v>
      </c>
      <c r="BP134" s="127">
        <f>SUMIF($E$4:$E$127,"310",$BP$4:$BP$127)</f>
        <v>0</v>
      </c>
      <c r="BQ134" s="127">
        <f>SUMIF($E$4:$E$127,"310",$BQ$4:$BQ$127)</f>
        <v>0</v>
      </c>
      <c r="BR134" s="128">
        <f>SUMIF($E$4:$E$127,"310",$BR$4:$BR$127)</f>
        <v>51909915</v>
      </c>
      <c r="BS134" s="129">
        <f t="shared" si="174"/>
        <v>0.3714677603351399</v>
      </c>
      <c r="BT134" s="36">
        <f t="shared" si="175"/>
        <v>402807788</v>
      </c>
      <c r="BU134" s="124">
        <f>SUMIF($E$4:$E$127,"310",$BU$4:$BU$127)</f>
        <v>0</v>
      </c>
      <c r="BV134" s="124">
        <f>SUMIF($E$4:$E$127,"310",$BV$4:$BV$127)</f>
        <v>0</v>
      </c>
      <c r="BW134" s="124">
        <f>SUMIF($E$4:$E$127,"310",$BW$4:$BW$127)</f>
        <v>74671597</v>
      </c>
      <c r="BX134" s="124">
        <f>SUMIF($E$4:$E$127,"310",$BX$4:$BX$127)</f>
        <v>0</v>
      </c>
      <c r="BY134" s="124">
        <f>SUMIF($E$4:$E$127,"310",$BY$4:$BY$127)</f>
        <v>303539270</v>
      </c>
      <c r="BZ134" s="124">
        <f>SUMIF($E$4:$E$127,"310",$BZ$4:$BZ$127)</f>
        <v>0</v>
      </c>
      <c r="CA134" s="124">
        <f>SUMIF($E$4:$E$127,"310",$CA$4:$CA$127)</f>
        <v>0</v>
      </c>
      <c r="CB134" s="124">
        <f>SUMIF($E$4:$E$127,"310",$CB$4:$CB$127)</f>
        <v>0</v>
      </c>
      <c r="CC134" s="124">
        <f>SUMIF($E$4:$E$127,"310",$CC$4:$CC$127)</f>
        <v>0</v>
      </c>
      <c r="CD134" s="124">
        <f>SUMIF($E$4:$E$127,"310",$CD$4:$CD$127)</f>
        <v>0</v>
      </c>
      <c r="CE134" s="124">
        <f>SUMIF($E$4:$E$127,"310",$CE$4:$CE$127)</f>
        <v>0</v>
      </c>
      <c r="CF134" s="124">
        <f>SUMIF($E$4:$E$127,"310",$CF$4:$CF$127)</f>
        <v>0</v>
      </c>
      <c r="CG134" s="124">
        <f>SUMIF($E$4:$E$127,"310",$CG$4:$CG$127)</f>
        <v>0</v>
      </c>
      <c r="CH134" s="124">
        <f>SUMIF($E$4:$E$127,"310",$CH$4:$CH$127)</f>
        <v>0</v>
      </c>
      <c r="CI134" s="124">
        <f>SUMIF($E$4:$E$127,"310",$CI$4:$CI$127)</f>
        <v>0</v>
      </c>
      <c r="CJ134" s="124">
        <f>SUMIF($E$4:$E$127,"310",$CJ$4:$CJ$127)</f>
        <v>0</v>
      </c>
      <c r="CK134" s="124">
        <f>SUMIF($E$4:$E$127,"310",$CK$4:$CK$127)</f>
        <v>0</v>
      </c>
      <c r="CL134" s="124">
        <f>SUMIF($E$4:$E$127,"310",$CL$4:$CL$127)</f>
        <v>0</v>
      </c>
      <c r="CM134" s="124">
        <f>SUMIF($E$4:$E$127,"310",$CM$4:$CM$127)</f>
        <v>0</v>
      </c>
      <c r="CN134" s="130">
        <f>SUMIF($E$4:$E$127,"310",$CN$4:$CN$127)</f>
        <v>24596921</v>
      </c>
      <c r="CO134" s="27">
        <f t="shared" si="176"/>
        <v>0.62853223966486005</v>
      </c>
      <c r="CP134" s="30">
        <f t="shared" si="177"/>
        <v>681560308</v>
      </c>
      <c r="CQ134" s="127">
        <f>SUMIF($E$4:$E$127,"310",$CQ$4:$CQ$127)</f>
        <v>0</v>
      </c>
      <c r="CR134" s="127">
        <f>SUMIF($E$4:$E$127,"310",$CR$4:$CR$127)</f>
        <v>375328403</v>
      </c>
      <c r="CS134" s="127">
        <f>SUMIF($E$4:$E$127,"310",$CS$4:$CS$127)</f>
        <v>0</v>
      </c>
      <c r="CT134" s="127">
        <f>SUMIF($E$4:$E$127,"310",$CT$4:$CT$127)</f>
        <v>253828826</v>
      </c>
      <c r="CU134" s="127">
        <f>SUMIF($E$4:$E$127,"310",$CU$4:$CU$127)</f>
        <v>0</v>
      </c>
      <c r="CV134" s="127">
        <f>SUMIF($E$4:$E$127,"310",$CV$4:$CV$127)</f>
        <v>0</v>
      </c>
      <c r="CW134" s="131">
        <f>SUMIF($E$4:$E$127,"310",$CW$4:$CW$127)</f>
        <v>0</v>
      </c>
      <c r="CX134" s="131">
        <f>SUMIF($E$4:$E$127,"310",$CX$4:$CX$127)</f>
        <v>0</v>
      </c>
      <c r="CY134" s="131">
        <f>SUMIF($E$4:$E$127,"310",$CY$4:$CY$127)</f>
        <v>0</v>
      </c>
      <c r="CZ134" s="131">
        <f>SUMIF($E$4:$E$127,"310",$CZ$4:$CZ$127)</f>
        <v>0</v>
      </c>
      <c r="DA134" s="131">
        <f>SUMIF($E$4:$E$127,"310",$DA$4:$DA$127)</f>
        <v>0</v>
      </c>
      <c r="DB134" s="131">
        <f>SUMIF($E$4:$E$127,"310",$DB$4:$DB$127)</f>
        <v>0</v>
      </c>
      <c r="DC134" s="131">
        <f>SUMIF($E$4:$E$127,"310",$DC$4:$DC$127)</f>
        <v>0</v>
      </c>
      <c r="DD134" s="131">
        <f>SUMIF($E$4:$E$127,"310",$DD$4:$DD$127)</f>
        <v>0</v>
      </c>
      <c r="DE134" s="131">
        <f>SUMIF($E$4:$E$127,"310",$DE$4:$DE$127)</f>
        <v>0</v>
      </c>
      <c r="DF134" s="131">
        <f>SUMIF($E$4:$E$127,"310",$DF$4:$DF$127)</f>
        <v>0</v>
      </c>
      <c r="DG134" s="131">
        <f>SUMIF($E$4:$E$127,"310",$DG$4:$DG$127)</f>
        <v>0</v>
      </c>
      <c r="DH134" s="131">
        <f>SUMIF($E$4:$E$127,"310",$DH$4:$DH$127)</f>
        <v>0</v>
      </c>
      <c r="DI134" s="131">
        <f>SUMIF($E$4:$E$127,"310",$DI$4:$DI$127)</f>
        <v>52403079</v>
      </c>
      <c r="DK134" s="281" t="s">
        <v>398</v>
      </c>
      <c r="DL134" s="281"/>
      <c r="DM134" s="276">
        <f t="shared" ref="DM134:DM140" si="178">+G133</f>
        <v>3820094278</v>
      </c>
      <c r="DN134" s="276">
        <f>+BT133</f>
        <v>1705911641</v>
      </c>
      <c r="DO134" s="278">
        <f>+BS133</f>
        <v>0.44656270679610699</v>
      </c>
    </row>
    <row r="135" spans="3:119" x14ac:dyDescent="0.25">
      <c r="C135" s="133"/>
      <c r="D135" s="122" t="s">
        <v>365</v>
      </c>
      <c r="E135" s="115">
        <v>410</v>
      </c>
      <c r="F135" s="123"/>
      <c r="G135" s="124">
        <f>SUMIF($E$4:$E$127,"410",$G$4:$G$127)</f>
        <v>5225565856</v>
      </c>
      <c r="H135" s="125">
        <f>SUMIF($E$4:$E$127,"410",$H$4:$H$127)</f>
        <v>0</v>
      </c>
      <c r="I135" s="125">
        <f>SUMIF($E$4:$E$128,"410",$I$4:$I$128)</f>
        <v>1563096695</v>
      </c>
      <c r="J135" s="124">
        <f>SUMIF($E$4:$E$127,"410",$J$4:$J$127)</f>
        <v>0</v>
      </c>
      <c r="K135" s="123">
        <f>SUMIF($E$4:$E$127,"410",$K$4:$K$127)</f>
        <v>0</v>
      </c>
      <c r="L135" s="123">
        <f>SUMIF($E$4:$E$127,"410",$L$4:$L$127)</f>
        <v>74368590</v>
      </c>
      <c r="M135" s="123">
        <f>SUMIF($E$4:$E$127,"410",$M$4:$M$127)</f>
        <v>0</v>
      </c>
      <c r="N135" s="123">
        <f>SUMIF($E$4:$E$127,"410",$N$4:$N$127)</f>
        <v>0</v>
      </c>
      <c r="O135" s="123">
        <f>SUMIF($E$4:$E$127,"410",$O$4:$O$127)</f>
        <v>0</v>
      </c>
      <c r="P135" s="123">
        <f>SUMIF($E$4:$E$127,"410",$P$4:$P$127)</f>
        <v>0</v>
      </c>
      <c r="Q135" s="123">
        <f>SUMIF($E$4:$E$127,"410",$Q$4:$Q$127)</f>
        <v>0</v>
      </c>
      <c r="R135" s="123">
        <f>SUMIF($E$4:$E$127,"410",$R$4:$R$127)</f>
        <v>1802332849</v>
      </c>
      <c r="S135" s="123">
        <f>SUMIF($E$4:$E$127,"410",$S$4:$S$127)</f>
        <v>387696735</v>
      </c>
      <c r="T135" s="123">
        <f>SUMIF($E$4:$E$127,"410",$T$4:$T$127)</f>
        <v>0</v>
      </c>
      <c r="U135" s="123">
        <f>SUMIF($E$4:$E$119,"410",$U$4:$U$119)</f>
        <v>1054833768</v>
      </c>
      <c r="V135" s="123">
        <f>SUMIF($E$4:$E$119,"410",$V$4:$V$119)</f>
        <v>0</v>
      </c>
      <c r="W135" s="123">
        <f>SUMIF($E$4:$E$127,"410",$W$4:$W$127)</f>
        <v>51295383</v>
      </c>
      <c r="X135" s="123">
        <f>SUMIF($E$4:$E$127,"410",$X$4:$X$127)</f>
        <v>0</v>
      </c>
      <c r="Y135" s="123">
        <f>SUMIF($E$4:$E$127,"410",$Y$4:$Y$127)</f>
        <v>204741836</v>
      </c>
      <c r="Z135" s="123">
        <f>SUMIF($E$4:$E$127,"410",$Z$4:$Z$127)</f>
        <v>87200000</v>
      </c>
      <c r="AB135" s="126">
        <f t="shared" si="170"/>
        <v>0.903539422353421</v>
      </c>
      <c r="AC135" s="30">
        <f t="shared" si="171"/>
        <v>4721504755</v>
      </c>
      <c r="AD135" s="124">
        <f>SUMIF($E$4:$E$127,"410",$AD$4:$AD$127)</f>
        <v>0</v>
      </c>
      <c r="AE135" s="124">
        <f>SUMIF($E$4:$E$127,"410",$AE$4:$AE$127)</f>
        <v>0</v>
      </c>
      <c r="AF135" s="124">
        <f>SUMIF($E$4:$E$127,"410",$AF$4:$AF$127)</f>
        <v>1545956457</v>
      </c>
      <c r="AG135" s="124">
        <f>SUMIF($E$4:$E$127,"410",$AG$4:$AG$127)</f>
        <v>0</v>
      </c>
      <c r="AH135" s="124">
        <f>SUMIF($E$4:$E$127,"410",$AH$4:$AH$127)</f>
        <v>0</v>
      </c>
      <c r="AI135" s="124">
        <f>SUMIF($E$4:$E$127,"410",$AI$4:$AI$127)</f>
        <v>43061377</v>
      </c>
      <c r="AJ135" s="124">
        <f>SUMIF($E$4:$E$127,"410",$AJ$4:$AJ$127)</f>
        <v>0</v>
      </c>
      <c r="AK135" s="124">
        <f>SUMIF($E$4:$E$127,"410",$AK$4:$AK$127)</f>
        <v>0</v>
      </c>
      <c r="AL135" s="124">
        <f>SUMIF($E$4:$E$127,"410",$AL$4:$AL$127)</f>
        <v>0</v>
      </c>
      <c r="AM135" s="124">
        <f>SUMIF($E$4:$E$127,"410",$AM$4:$AM$127)</f>
        <v>0</v>
      </c>
      <c r="AN135" s="124">
        <f>SUMIF($E$4:$E$127,"410",$AN$4:$AN$127)</f>
        <v>0</v>
      </c>
      <c r="AO135" s="124">
        <f>SUMIF($E$4:$E$127,"410",$AO$4:$AO$127)</f>
        <v>1763057320</v>
      </c>
      <c r="AP135" s="124">
        <f>SUMIF($E$4:$E$127,"410",$AP$4:$AP$127)</f>
        <v>304609464</v>
      </c>
      <c r="AQ135" s="124">
        <f>SUMIF($E$4:$E$127,"410",$AQ$4:$AQ$127)</f>
        <v>0</v>
      </c>
      <c r="AR135" s="124">
        <f>SUMIF($E$4:$E$127,"410",$AR$4:$AR$127)</f>
        <v>832240418</v>
      </c>
      <c r="AS135" s="124">
        <f>SUMIF($E$4:$E$127,"410",$AS$4:$AS$127)</f>
        <v>0</v>
      </c>
      <c r="AT135" s="124">
        <f>SUMIF($E$4:$E$127,"410",$AT$4:$AT$127)</f>
        <v>51295383</v>
      </c>
      <c r="AU135" s="124">
        <f>SUMIF($E$4:$E$127,"410",$AU$4:$AU$127)</f>
        <v>0</v>
      </c>
      <c r="AV135" s="124">
        <f>SUMIF($E$4:$E$127,"410",$AV$4:$AV$127)</f>
        <v>114321836</v>
      </c>
      <c r="AW135" s="124">
        <f>SUMIF($E$4:$E$127,"410",$AW$4:$AW$127)</f>
        <v>66962500</v>
      </c>
      <c r="AX135" s="109">
        <f t="shared" si="172"/>
        <v>9.6460577646579004E-2</v>
      </c>
      <c r="AY135" s="30">
        <f t="shared" si="173"/>
        <v>504061101</v>
      </c>
      <c r="AZ135" s="127">
        <f>SUMIF($E$4:$E$127,"410",$AZ$4:$AZ$127)</f>
        <v>0</v>
      </c>
      <c r="BA135" s="127">
        <f>SUMIF($E$4:$E$127,"410",$BA$4:$BA$127)</f>
        <v>17140238</v>
      </c>
      <c r="BB135" s="127">
        <f>SUMIF($E$4:$E$127,"410",$BB$4:$BB$127)</f>
        <v>0</v>
      </c>
      <c r="BC135" s="127">
        <f>SUMIF($E$4:$E$127,"410",$BC$4:$BC$127)</f>
        <v>0</v>
      </c>
      <c r="BD135" s="127">
        <f>SUMIF($E$4:$E$127,"410",$BD$4:$BD$127)</f>
        <v>31307213</v>
      </c>
      <c r="BE135" s="127">
        <f>SUMIF($E$4:$E$127,"410",$BE$4:$BE$127)</f>
        <v>0</v>
      </c>
      <c r="BF135" s="127">
        <f>SUMIF($E$4:$E$127,"410",$BF$4:$BF$127)</f>
        <v>0</v>
      </c>
      <c r="BG135" s="127">
        <f>SUMIF($E$4:$E$127,"410",$BG$4:$BG$127)</f>
        <v>0</v>
      </c>
      <c r="BH135" s="127">
        <f>SUMIF($E$4:$E$127,"410",$BH$4:$BH$127)</f>
        <v>0</v>
      </c>
      <c r="BI135" s="127">
        <f>SUMIF($E$4:$E$127,"410",$BI$4:$BI$127)</f>
        <v>0</v>
      </c>
      <c r="BJ135" s="127">
        <f>SUMIF($E$4:$E$127,"410",$BJ$4:$BJ$127)</f>
        <v>39275529</v>
      </c>
      <c r="BK135" s="127">
        <f>SUMIF($E$4:$E$127,"410",$BK$4:$BK$127)</f>
        <v>83087271</v>
      </c>
      <c r="BL135" s="127">
        <f>SUMIF($E$4:$E$127,"410",$BL$4:$BL$127)</f>
        <v>0</v>
      </c>
      <c r="BM135" s="127">
        <f>SUMIF($E$4:$E$127,"410",$BM$4:$BM$127)</f>
        <v>222593350</v>
      </c>
      <c r="BN135" s="127">
        <f>SUMIF($E$4:$E$127,"510",$BN$4:$BN$127)</f>
        <v>0</v>
      </c>
      <c r="BO135" s="127">
        <f>SUMIF($E$4:$E$127,"410",$BO$4:$BO$127)</f>
        <v>0</v>
      </c>
      <c r="BP135" s="127">
        <f>SUMIF($E$4:$E$127,"410",$BP$4:$BP$127)</f>
        <v>0</v>
      </c>
      <c r="BQ135" s="127">
        <f>SUMIF($E$4:$E$127,"410",$BQ$4:$BQ$127)</f>
        <v>90420000</v>
      </c>
      <c r="BR135" s="128">
        <f>SUMIF($E$4:$E$127,"410",$BR$4:$BR$127)</f>
        <v>20237500</v>
      </c>
      <c r="BS135" s="129">
        <f t="shared" si="174"/>
        <v>0.58793228114662577</v>
      </c>
      <c r="BT135" s="30">
        <f t="shared" si="175"/>
        <v>3072278854</v>
      </c>
      <c r="BU135" s="124">
        <f>SUMIF($E$4:$E$127,"410",$BU$4:$BU$127)</f>
        <v>0</v>
      </c>
      <c r="BV135" s="124">
        <f>SUMIF($E$4:$E$127,"410",$BV$4:$BV$127)</f>
        <v>0</v>
      </c>
      <c r="BW135" s="124">
        <f>SUMIF($E$4:$E$127,"410",$BW$4:$BW$127)</f>
        <v>824157050</v>
      </c>
      <c r="BX135" s="124">
        <f>SUMIF($E$4:$E$127,"410",$BX$4:$BX$127)</f>
        <v>0</v>
      </c>
      <c r="BY135" s="124">
        <f>SUMIF($E$4:$E$127,"410",$BY$4:$BY$127)</f>
        <v>0</v>
      </c>
      <c r="BZ135" s="124">
        <f>SUMIF($E$4:$E$127,"410",$BZ$4:$BZ$127)</f>
        <v>35500000</v>
      </c>
      <c r="CA135" s="124">
        <f>SUMIF($E$4:$E$127,"410",$CA$4:$CA$127)</f>
        <v>0</v>
      </c>
      <c r="CB135" s="124">
        <f>SUMIF($E$4:$E$127,"410",$CB$4:$CB$127)</f>
        <v>0</v>
      </c>
      <c r="CC135" s="124">
        <f>SUMIF($E$4:$E$127,"410",$CC$4:$CC$127)</f>
        <v>0</v>
      </c>
      <c r="CD135" s="124">
        <f>SUMIF($E$4:$E$127,"410",$CD$4:$CD$127)</f>
        <v>0</v>
      </c>
      <c r="CE135" s="124">
        <f>SUMIF($E$4:$E$127,"410",$CE$4:$CE$127)</f>
        <v>0</v>
      </c>
      <c r="CF135" s="124">
        <f>SUMIF($E$4:$E$127,"410",$CF$4:$CF$127)</f>
        <v>1085446388</v>
      </c>
      <c r="CG135" s="124">
        <f>SUMIF($E$4:$E$127,"410",$CG$4:$CG$127)</f>
        <v>280642464</v>
      </c>
      <c r="CH135" s="124">
        <f>SUMIF($E$4:$E$127,"410",$CH$4:$CH$127)</f>
        <v>0</v>
      </c>
      <c r="CI135" s="124">
        <f>SUMIF($E$4:$E$127,"410",$CI$4:$CI$127)</f>
        <v>766242889</v>
      </c>
      <c r="CJ135" s="124">
        <f>SUMIF($E$4:$E$127,"410",$CJ$4:$CJ$127)</f>
        <v>0</v>
      </c>
      <c r="CK135" s="124">
        <f>SUMIF($E$4:$E$127,"410",$CK$4:$CK$127)</f>
        <v>0</v>
      </c>
      <c r="CL135" s="124">
        <f>SUMIF($E$4:$E$127,"410",$CL$4:$CL$127)</f>
        <v>0</v>
      </c>
      <c r="CM135" s="124">
        <f>SUMIF($E$4:$E$127,"410",$CM$4:$CM$127)</f>
        <v>23350298</v>
      </c>
      <c r="CN135" s="130">
        <f>SUMIF($E$4:$E$127,"410",$CN$4:$CN$127)</f>
        <v>56939765</v>
      </c>
      <c r="CO135" s="27">
        <f t="shared" si="176"/>
        <v>0.41206771885337423</v>
      </c>
      <c r="CP135" s="30">
        <f t="shared" si="177"/>
        <v>2153287002</v>
      </c>
      <c r="CQ135" s="127">
        <f>SUMIF($E$4:$E$127,"410",$CQ$4:$CQ$127)</f>
        <v>0</v>
      </c>
      <c r="CR135" s="127">
        <f>SUMIF($E$4:$E$127,"410",$CR$4:$CR$127)</f>
        <v>738939645</v>
      </c>
      <c r="CS135" s="127">
        <f>SUMIF($E$4:$E$127,"410",$CS$4:$CS$127)</f>
        <v>0</v>
      </c>
      <c r="CT135" s="127">
        <f>SUMIF($E$4:$E$127,"410",$CT$4:$CT$127)</f>
        <v>0</v>
      </c>
      <c r="CU135" s="127">
        <f>SUMIF($E$4:$E$127,"410",$CU$4:$CU$127)</f>
        <v>38868590</v>
      </c>
      <c r="CV135" s="127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0</v>
      </c>
      <c r="CY135" s="131">
        <f>SUMIF($E$4:$E$127,"410",$CY$4:$CY$127)</f>
        <v>0</v>
      </c>
      <c r="CZ135" s="131">
        <f>SUMIF($E$4:$E$127,"410",$CZ$4:$CZ$127)</f>
        <v>0</v>
      </c>
      <c r="DA135" s="131">
        <f>SUMIF($E$4:$E$127,"410",$DA$4:$DA$127)</f>
        <v>716886461</v>
      </c>
      <c r="DB135" s="131">
        <f>SUMIF($E$4:$E$127,"410",$DB$4:$DB$127)</f>
        <v>107054271</v>
      </c>
      <c r="DC135" s="131">
        <f>SUMIF($E$4:$E$127,"410",$DC$4:$DC$127)</f>
        <v>0</v>
      </c>
      <c r="DD135" s="131">
        <f>SUMIF($E$4:$E$127,"410",$DD$4:$DD$127)</f>
        <v>288590879</v>
      </c>
      <c r="DE135" s="131">
        <f>SUMIF($E$4:$E$127,"410",$DE$4:$DE$127)</f>
        <v>0</v>
      </c>
      <c r="DF135" s="131">
        <f>SUMIF($E$4:$E$127,"410",$DF$4:$DF$127)</f>
        <v>51295383</v>
      </c>
      <c r="DG135" s="131">
        <f>SUMIF($E$4:$E$127,"410",$DG$4:$DG$127)</f>
        <v>0</v>
      </c>
      <c r="DH135" s="131">
        <f>SUMIF($E$4:$E$127,"410",$DH$4:$DH$127)</f>
        <v>181391538</v>
      </c>
      <c r="DI135" s="131">
        <f>SUMIF($E$4:$E$127,"410",$DI$4:$DI$127)</f>
        <v>30260235</v>
      </c>
      <c r="DK135" s="78" t="s">
        <v>364</v>
      </c>
      <c r="DL135" s="78"/>
      <c r="DM135" s="276">
        <f t="shared" si="178"/>
        <v>1084368096</v>
      </c>
      <c r="DN135" s="276">
        <f>+BT134</f>
        <v>402807788</v>
      </c>
      <c r="DO135" s="278">
        <f>+BS134</f>
        <v>0.3714677603351399</v>
      </c>
    </row>
    <row r="136" spans="3:119" ht="14.25" customHeight="1" x14ac:dyDescent="0.25">
      <c r="C136" s="133"/>
      <c r="D136" s="134" t="s">
        <v>366</v>
      </c>
      <c r="E136" s="115">
        <v>510</v>
      </c>
      <c r="F136" s="123"/>
      <c r="G136" s="124">
        <f>SUMIF($E$4:$E$127,"510",$G$4:$G$127)</f>
        <v>1020280977</v>
      </c>
      <c r="H136" s="125">
        <f>SUMIF($E$4:$E$127,"510",$H$4:$H$127)</f>
        <v>0</v>
      </c>
      <c r="I136" s="125">
        <f>SUMIF($E$4:$E$128,"510",$I$4:$I$128)</f>
        <v>0</v>
      </c>
      <c r="J136" s="124">
        <f>SUMIF($E$4:$E$127,"510",$J$4:$J$127)</f>
        <v>0</v>
      </c>
      <c r="K136" s="123">
        <f>SUMIF($E$4:$E$127,"510",$K$4:$K$127)</f>
        <v>822368554</v>
      </c>
      <c r="L136" s="123">
        <f>SUMIF($E$4:$E$127,"510",$L$4:$L$127)</f>
        <v>14004396</v>
      </c>
      <c r="M136" s="123">
        <f>SUMIF($E$4:$E$127,"510",$M$4:$M$127)</f>
        <v>0</v>
      </c>
      <c r="N136" s="123">
        <f>SUMIF($E$4:$E$127,"510",$N$4:$N$127)</f>
        <v>0</v>
      </c>
      <c r="O136" s="123">
        <f>SUMIF($E$4:$E$127,"510",$O$4:$O$127)</f>
        <v>0</v>
      </c>
      <c r="P136" s="123">
        <f>SUMIF($E$4:$E$127,"510",$P$4:$P$127)</f>
        <v>0</v>
      </c>
      <c r="Q136" s="123">
        <f>SUMIF($E$4:$E$127,"510",$Q$4:$Q$127)</f>
        <v>0</v>
      </c>
      <c r="R136" s="123">
        <f>SUMIF($E$4:$E$127,"510",$R$4:$R$127)</f>
        <v>0</v>
      </c>
      <c r="S136" s="123">
        <f>SUMIF($E$4:$E$127,"510",$S$4:$S$127)</f>
        <v>40431446</v>
      </c>
      <c r="T136" s="123">
        <f>SUMIF($E$4:$E$127,"510",$T$4:$T$127)</f>
        <v>1796640</v>
      </c>
      <c r="U136" s="123">
        <f>SUMIF($E$4:$E$127,"510",$U$4:$U$127)</f>
        <v>0</v>
      </c>
      <c r="V136" s="123">
        <f>SUMIF($E$4:$E$119,"510",$V$4:$V$119)</f>
        <v>0</v>
      </c>
      <c r="W136" s="123"/>
      <c r="X136" s="123">
        <f>SUMIF($E$4:$E$127,"510",$X$4:$X$127)</f>
        <v>0</v>
      </c>
      <c r="Y136" s="123">
        <f>SUMIF($E$4:$E$127,"510",$Y$4:$Y$127)</f>
        <v>0</v>
      </c>
      <c r="Z136" s="123">
        <f>SUMIF($E$4:$E$127,"510",$Z$4:$Z$127)</f>
        <v>141679941</v>
      </c>
      <c r="AB136" s="126">
        <f t="shared" si="170"/>
        <v>0.86672247345056597</v>
      </c>
      <c r="AC136" s="30">
        <f t="shared" si="171"/>
        <v>884300452</v>
      </c>
      <c r="AD136" s="124">
        <f>SUMIF($E$4:$E$127,"510",$AD$4:$AD$127)</f>
        <v>0</v>
      </c>
      <c r="AE136" s="124">
        <f>SUMIF($E$4:$E$127,"510",$AE$4:$AE$127)</f>
        <v>0</v>
      </c>
      <c r="AF136" s="124">
        <f>SUMIF($E$4:$E$127,"510",$AF$4:$AF$127)</f>
        <v>0</v>
      </c>
      <c r="AG136" s="124">
        <f>SUMIF($E$4:$E$127,"510",$AG$4:$AG$127)</f>
        <v>0</v>
      </c>
      <c r="AH136" s="124">
        <f>SUMIF($E$4:$E$127,"510",$AH$4:$AH$127)</f>
        <v>744468224</v>
      </c>
      <c r="AI136" s="124">
        <f>SUMIF($E$4:$E$127,"510",$AI$4:$AI$127)</f>
        <v>14004396</v>
      </c>
      <c r="AJ136" s="124">
        <f>SUMIF($E$4:$E$127,"510",$AJ$4:$AJ$127)</f>
        <v>0</v>
      </c>
      <c r="AK136" s="124">
        <f>SUMIF($E$4:$E$127,"510",$AK$4:$AK$127)</f>
        <v>0</v>
      </c>
      <c r="AL136" s="124">
        <f>SUMIF($E$4:$E$127,"510",$AL$4:$AL$127)</f>
        <v>0</v>
      </c>
      <c r="AM136" s="124">
        <f>SUMIF($E$4:$E$127,"510",$AM$4:$AM$127)</f>
        <v>0</v>
      </c>
      <c r="AN136" s="124">
        <f>SUMIF($E$4:$E$127,"510",$AN$4:$AN$127)</f>
        <v>0</v>
      </c>
      <c r="AO136" s="124">
        <f>SUMIF($E$4:$E$127,"510",$AO$4:$AO$127)</f>
        <v>0</v>
      </c>
      <c r="AP136" s="124">
        <f>SUMIF($E$4:$E$127,"510",$AP$4:$AP$127)</f>
        <v>23188762</v>
      </c>
      <c r="AQ136" s="124">
        <f>SUMIF($E$4:$E$127,"510",$AQ$4:$AQ$127)</f>
        <v>1796640</v>
      </c>
      <c r="AR136" s="124">
        <f>SUMIF($E$4:$E$127,"510",$AR$4:$AR$127)</f>
        <v>0</v>
      </c>
      <c r="AS136" s="124">
        <f>SUMIF($E$4:$E$127,"510",$AS$4:$AS$127)</f>
        <v>0</v>
      </c>
      <c r="AT136" s="124">
        <f>SUMIF($E$4:$E$127,"510",$AT$4:$AT$127)</f>
        <v>0</v>
      </c>
      <c r="AU136" s="124">
        <f>SUMIF($E$4:$E$127,"510",$AU$4:$AU$127)</f>
        <v>0</v>
      </c>
      <c r="AV136" s="124">
        <f>SUMIF($E$4:$E$127," 510",$AV$4:$AV$127)</f>
        <v>0</v>
      </c>
      <c r="AW136" s="124">
        <f>SUMIF($E$4:$E$127,"510",$AW$4:$AW$127)</f>
        <v>100842430</v>
      </c>
      <c r="AX136" s="109">
        <f t="shared" si="172"/>
        <v>0.13327752654943403</v>
      </c>
      <c r="AY136" s="30">
        <f t="shared" si="173"/>
        <v>135980525</v>
      </c>
      <c r="AZ136" s="127">
        <f>SUMIF($E$4:$E$127,"510",$AZ$4:$AZ$127)</f>
        <v>0</v>
      </c>
      <c r="BA136" s="127">
        <f>SUMIF($E$4:$E$127,"510",$BA$4:$BA$127)</f>
        <v>0</v>
      </c>
      <c r="BB136" s="127">
        <f>SUMIF($E$4:$E$127,"510",$BB$4:$BB$127)</f>
        <v>0</v>
      </c>
      <c r="BC136" s="127">
        <f>SUMIF($E$4:$E$127,"510",$BC$4:$BC$127)</f>
        <v>77900330</v>
      </c>
      <c r="BD136" s="127">
        <f>SUMIF($E$4:$E$127,"510",$BD$4:$BD$127)</f>
        <v>0</v>
      </c>
      <c r="BE136" s="127">
        <f>SUMIF($E$4:$E$127,"510",$BE$4:$BE$127)</f>
        <v>0</v>
      </c>
      <c r="BF136" s="127">
        <f>SUMIF($E$4:$E$127,"510",$BF$4:$BF$127)</f>
        <v>0</v>
      </c>
      <c r="BG136" s="127">
        <f>SUMIF($E$4:$E$127,"510",$BG$4:$BG$127)</f>
        <v>0</v>
      </c>
      <c r="BH136" s="127">
        <f>SUMIF($E$4:$E$127,"510",$BH$4:$BH$127)</f>
        <v>0</v>
      </c>
      <c r="BI136" s="127">
        <f>SUMIF($E$4:$E$127,"510",$BI$4:$BI$127)</f>
        <v>0</v>
      </c>
      <c r="BJ136" s="127">
        <f>SUMIF($E$4:$E$127,"510",$BJ$4:$BJ$127)</f>
        <v>0</v>
      </c>
      <c r="BK136" s="127">
        <f>SUMIF($E$4:$E$127,"510",$BK$4:$BK$127)</f>
        <v>17242684</v>
      </c>
      <c r="BL136" s="127">
        <f>SUMIF($E$4:$E$127,"510",$BL$4:$BL$127)</f>
        <v>0</v>
      </c>
      <c r="BM136" s="127">
        <f>SUMIF($E$4:$E$127,"510",$BM$4:$BM$127)</f>
        <v>0</v>
      </c>
      <c r="BN136" s="127">
        <f>SUMIF($E$4:$E$127,"520",$BN$4:$BN$127)</f>
        <v>0</v>
      </c>
      <c r="BO136" s="127"/>
      <c r="BP136" s="127">
        <f>SUMIF($E$4:$E$127,"510",$BP$4:$BP$127)</f>
        <v>0</v>
      </c>
      <c r="BQ136" s="127">
        <f>SUMIF($E$4:$E$127,"510",$BQ$4:$BQ$127)</f>
        <v>0</v>
      </c>
      <c r="BR136" s="128">
        <f>SUMIF($E$4:$E$127,"510",$BR$4:$BR$127)</f>
        <v>40837511</v>
      </c>
      <c r="BS136" s="129">
        <f t="shared" si="174"/>
        <v>0.79578132720590755</v>
      </c>
      <c r="BT136" s="30">
        <f t="shared" si="175"/>
        <v>811920550</v>
      </c>
      <c r="BU136" s="124">
        <f>SUMIF($E$4:$E$127,"510",$BU$4:$BU$127)</f>
        <v>0</v>
      </c>
      <c r="BV136" s="124">
        <f>SUMIF($E$4:$E$127,"510",$BV$4:$BV$127)</f>
        <v>0</v>
      </c>
      <c r="BW136" s="124">
        <f>SUMIF($E$4:$E$127,"510",$BW$4:$BW$127)</f>
        <v>0</v>
      </c>
      <c r="BX136" s="124">
        <f>SUMIF($E$4:$E$127,"510",$BX$4:$BX$127)</f>
        <v>0</v>
      </c>
      <c r="BY136" s="124">
        <f>SUMIF($E$4:$E$127,"510",$BY$4:$BY$127)</f>
        <v>704650258</v>
      </c>
      <c r="BZ136" s="124">
        <f>SUMIF($E$4:$E$127,"510",$BZ$4:$BZ$127)</f>
        <v>14004396</v>
      </c>
      <c r="CA136" s="124">
        <f>SUMIF($E$4:$E$127,"510",$CA$4:$CA$127)</f>
        <v>0</v>
      </c>
      <c r="CB136" s="124">
        <f>SUMIF($E$4:$E$127,"510",$CB$4:$CB$127)</f>
        <v>0</v>
      </c>
      <c r="CC136" s="124">
        <f>SUMIF($E$4:$E$127,"510",$CC$4:$CC$127)</f>
        <v>0</v>
      </c>
      <c r="CD136" s="124">
        <f>SUMIF($E$4:$E$127,"510",$CD$4:$CD$127)</f>
        <v>0</v>
      </c>
      <c r="CE136" s="124">
        <f>SUMIF($E$4:$E$127,"510",$CE$4:$CE$127)</f>
        <v>0</v>
      </c>
      <c r="CF136" s="124">
        <f>SUMIF($E$4:$E$127,"510",$CF$4:$CF$127)</f>
        <v>0</v>
      </c>
      <c r="CG136" s="124">
        <f>SUMIF($E$4:$E$127,"510",$CG$4:$CG$127)</f>
        <v>23178230</v>
      </c>
      <c r="CH136" s="124">
        <f>SUMIF($E$4:$E$127,"510",$CH$4:$CH$127)</f>
        <v>1796640</v>
      </c>
      <c r="CI136" s="124">
        <f>SUMIF($E$4:$E$127,"510",$CI$4:$CI$127)</f>
        <v>0</v>
      </c>
      <c r="CJ136" s="124">
        <f>SUMIF($E$4:$E$127,"510",$CJ$4:$CJ$127)</f>
        <v>0</v>
      </c>
      <c r="CK136" s="124">
        <f>SUMIF($E$4:$E$127,"111",$CK$4:$CK$127)</f>
        <v>0</v>
      </c>
      <c r="CL136" s="124">
        <f>SUMIF($E$4:$E$127,"510",$CL$4:$CL$127)</f>
        <v>0</v>
      </c>
      <c r="CM136" s="124">
        <f>SUMIF($E$4:$E$127,"510",$CM$4:$CM$127)</f>
        <v>0</v>
      </c>
      <c r="CN136" s="130">
        <f>SUMIF($E$4:$E$127,"510",$CN$4:$CN$127)</f>
        <v>68291026</v>
      </c>
      <c r="CO136" s="27">
        <f t="shared" si="176"/>
        <v>0.20421867279409245</v>
      </c>
      <c r="CP136" s="30">
        <f t="shared" si="177"/>
        <v>208360427</v>
      </c>
      <c r="CQ136" s="127">
        <f>SUMIF($E$4:$E$127,"510",$CQ$4:$CQ$127)</f>
        <v>0</v>
      </c>
      <c r="CR136" s="127">
        <f>SUMIF($E$4:$E$127,"510",$CR$4:$CR$127)</f>
        <v>0</v>
      </c>
      <c r="CS136" s="127">
        <f>SUMIF($E$4:$E$127,"510",$CS$4:$CS$127)</f>
        <v>0</v>
      </c>
      <c r="CT136" s="127">
        <f>SUMIF($E$4:$E$127,"510",$CT$4:$CT$127)</f>
        <v>117718296</v>
      </c>
      <c r="CU136" s="127">
        <f>SUMIF($E$4:$E$127,"510",$CU$4:$CU$127)</f>
        <v>0</v>
      </c>
      <c r="CV136" s="127">
        <f>SUMIF($E$4:$E$127,"510",$CV$4:$CV$127)</f>
        <v>0</v>
      </c>
      <c r="CW136" s="131">
        <f>SUMIF($E$4:$E$127,"510",$CW$4:$CW$127)</f>
        <v>0</v>
      </c>
      <c r="CX136" s="131">
        <f>SUMIF($E$4:$E$127,"510",$CX$4:$CX$127)</f>
        <v>0</v>
      </c>
      <c r="CY136" s="131">
        <f>SUMIF($E$4:$E$127,"510",$CY$4:$CY$127)</f>
        <v>0</v>
      </c>
      <c r="CZ136" s="131">
        <f>SUMIF($E$4:$E$127,"510",$CZ$4:$CZ$127)</f>
        <v>0</v>
      </c>
      <c r="DA136" s="131">
        <f>SUMIF($E$4:$E$127,"510",$DA$4:$DA$127)</f>
        <v>0</v>
      </c>
      <c r="DB136" s="131">
        <f>SUMIF($E$4:$E$127,"510",$DB$4:$DB$127)</f>
        <v>17253216</v>
      </c>
      <c r="DC136" s="131">
        <f>SUMIF($E$4:$E$127,"510",$DC$4:$DC$127)</f>
        <v>0</v>
      </c>
      <c r="DD136" s="131">
        <f>SUMIF($E$4:$E$127,"510",$DD$4:$DD$127)</f>
        <v>0</v>
      </c>
      <c r="DE136" s="131">
        <f>SUMIF($E$4:$E$127,"510",$DE$4:$DE$127)</f>
        <v>0</v>
      </c>
      <c r="DF136" s="131">
        <f>SUMIF($E$4:$E$127,"510",$DF$4:$DF$127)</f>
        <v>0</v>
      </c>
      <c r="DG136" s="131">
        <f>SUMIF($E$4:$E$127,"510",$DG$4:$DG$127)</f>
        <v>0</v>
      </c>
      <c r="DH136" s="131">
        <f>SUMIF($E$4:$E$127,"510",$DH$4:$DH$127)</f>
        <v>0</v>
      </c>
      <c r="DI136" s="131">
        <f>SUMIF($E$4:$E$127,"510",$DI$4:$DI$127)</f>
        <v>73388915</v>
      </c>
      <c r="DK136" s="78" t="s">
        <v>399</v>
      </c>
      <c r="DL136" s="78"/>
      <c r="DM136" s="276">
        <f t="shared" si="178"/>
        <v>5225565856</v>
      </c>
      <c r="DN136" s="276">
        <f>+BT135</f>
        <v>3072278854</v>
      </c>
      <c r="DO136" s="278">
        <f>+BS135</f>
        <v>0.58793228114662577</v>
      </c>
    </row>
    <row r="137" spans="3:119" x14ac:dyDescent="0.25">
      <c r="C137" s="133"/>
      <c r="D137" s="122" t="s">
        <v>367</v>
      </c>
      <c r="E137" s="115">
        <v>520</v>
      </c>
      <c r="F137" s="123"/>
      <c r="G137" s="124">
        <f>SUMIF($E$4:$E$127,"520",$G$4:$G$127)</f>
        <v>1683497241</v>
      </c>
      <c r="H137" s="125">
        <f>SUMIF($E$4:$E$127,"520",$H$4:$H$127)</f>
        <v>0</v>
      </c>
      <c r="I137" s="125">
        <f>SUMIF($E$4:$E$127,"520",$I$4:$I$127)</f>
        <v>0</v>
      </c>
      <c r="J137" s="124">
        <f>SUMIF($E$4:$E$127,"520",$J$4:$J$127)</f>
        <v>0</v>
      </c>
      <c r="K137" s="123">
        <f>SUMIF($E$4:$E$127,"520",$K$4:$K$127)</f>
        <v>520000000</v>
      </c>
      <c r="L137" s="123">
        <f>SUMIF($E$4:$E$127,"520",$L$4:$L$127)</f>
        <v>50000000</v>
      </c>
      <c r="M137" s="123">
        <f>SUMIF($E$4:$E$127,"520",$M$4:$M$127)</f>
        <v>0</v>
      </c>
      <c r="N137" s="123">
        <f>SUMIF($E$4:$E$127,"520",$N$4:$N$127)</f>
        <v>0</v>
      </c>
      <c r="O137" s="123">
        <f>SUMIF($E$4:$E$127,"520",$O$4:$O$127)</f>
        <v>0</v>
      </c>
      <c r="P137" s="123">
        <f>SUMIF($E$4:$E$127,"520",$P$4:$P$127)</f>
        <v>0</v>
      </c>
      <c r="Q137" s="123">
        <f>SUMIF($E$4:$E$127,"520",$Q$4:$Q$127)</f>
        <v>0</v>
      </c>
      <c r="R137" s="123">
        <f>SUMIF($E$4:$E$127,"520",$R$4:$R$127)</f>
        <v>244000000</v>
      </c>
      <c r="S137" s="123">
        <f>SUMIF($E$4:$E$127,"520",$S$4:$S$127)</f>
        <v>333901442</v>
      </c>
      <c r="T137" s="123">
        <f>SUMIF($E$4:$E$127,"520",$T$4:$T$127)</f>
        <v>0</v>
      </c>
      <c r="U137" s="123">
        <f>SUMIF($E$4:$E$127,"520",$U$4:$U$127)</f>
        <v>0</v>
      </c>
      <c r="V137" s="123">
        <f>SUMIF($E$4:$E$119,"520",$V$4:$V$119)</f>
        <v>0</v>
      </c>
      <c r="W137" s="123"/>
      <c r="X137" s="123">
        <f>SUMIF($E$4:$E$127,"520",$X$4:$X$127)</f>
        <v>0</v>
      </c>
      <c r="Y137" s="123">
        <f>SUMIF($E$4:$E$127,"520",$Y$4:$Y$127)</f>
        <v>0</v>
      </c>
      <c r="Z137" s="123">
        <f>SUMIF($E$4:$E$127,"520",$Z$4:$Z$127)</f>
        <v>535595799</v>
      </c>
      <c r="AB137" s="126">
        <f t="shared" si="170"/>
        <v>0.79636670340108984</v>
      </c>
      <c r="AC137" s="30">
        <f t="shared" si="171"/>
        <v>1340681148</v>
      </c>
      <c r="AD137" s="124">
        <f>SUMIF($E$4:$E$127,"520",$AD$4:$AD$127)</f>
        <v>0</v>
      </c>
      <c r="AE137" s="124">
        <f>SUMIF($E$4:$E$127,"520",$AE$4:$AE$127)</f>
        <v>0</v>
      </c>
      <c r="AF137" s="124">
        <f>SUMIF($E$4:$E$127,"520",$AF$4:$AF$127)</f>
        <v>0</v>
      </c>
      <c r="AG137" s="124">
        <f>SUMIF($E$4:$E$127,"520",$AG$4:$AG$127)</f>
        <v>0</v>
      </c>
      <c r="AH137" s="124">
        <f>SUMIF($E$4:$E$127,"520",$AH$4:$AH$127)</f>
        <v>349598967</v>
      </c>
      <c r="AI137" s="124">
        <f>SUMIF($E$4:$E$127,"520",$AI$4:$AI$127)</f>
        <v>49214507</v>
      </c>
      <c r="AJ137" s="124">
        <f>SUMIF($E$4:$E$127,"520",$AJ$4:$AJ$127)</f>
        <v>0</v>
      </c>
      <c r="AK137" s="124">
        <f>SUMIF($E$4:$E$127,"520",$AK$4:$AK$127)</f>
        <v>0</v>
      </c>
      <c r="AL137" s="124">
        <f>SUMIF($E$4:$E$127,"520",$AL$4:$AL$127)</f>
        <v>0</v>
      </c>
      <c r="AM137" s="124">
        <f>SUMIF($E$4:$E$127,"520",$AM$4:$AM$127)</f>
        <v>0</v>
      </c>
      <c r="AN137" s="124">
        <f>SUMIF($E$4:$E$127,"520",$AN$4:$AN$127)</f>
        <v>0</v>
      </c>
      <c r="AO137" s="124">
        <f>SUMIF($E$4:$E$127,"520",$AO$4:$AO$127)</f>
        <v>187101991</v>
      </c>
      <c r="AP137" s="124">
        <f>SUMIF($E$4:$E$127,"520",$AP$4:$AP$127)</f>
        <v>261050876</v>
      </c>
      <c r="AQ137" s="124">
        <f>SUMIF($E$4:$E$127,"520",$AQ$4:$AQ$127)</f>
        <v>0</v>
      </c>
      <c r="AR137" s="124">
        <f>SUMIF($E$4:$E$127,"520",$AR$4:$AR$127)</f>
        <v>0</v>
      </c>
      <c r="AS137" s="124">
        <f>SUMIF($E$4:$E$127,"520",$AS$4:$AS$127)</f>
        <v>0</v>
      </c>
      <c r="AT137" s="124">
        <f>SUMIF($E$4:$E$127,"520",$AT$4:$AT$127)</f>
        <v>0</v>
      </c>
      <c r="AU137" s="124">
        <f>SUMIF($E$4:$E$127,"520",$AU$4:$AU$127)</f>
        <v>0</v>
      </c>
      <c r="AV137" s="124">
        <f>SUMIF($E$4:$E$127,"520",$AV$4:$AV$127)</f>
        <v>0</v>
      </c>
      <c r="AW137" s="124">
        <f>SUMIF($E$4:$E$127,"520",$AW$4:$AW$127)</f>
        <v>493714807</v>
      </c>
      <c r="AX137" s="109">
        <f t="shared" si="172"/>
        <v>0.20363329659891016</v>
      </c>
      <c r="AY137" s="30">
        <f t="shared" si="173"/>
        <v>342816093</v>
      </c>
      <c r="AZ137" s="127">
        <f>SUMIF($E$4:$E$127,"520",$AZ$4:$AZ$127)</f>
        <v>0</v>
      </c>
      <c r="BA137" s="127">
        <f>SUMIF($E$4:$E$127,"520",$BA$4:$BA$127)</f>
        <v>0</v>
      </c>
      <c r="BB137" s="127">
        <f>SUMIF($E$4:$E$127,"520",$BB$4:$BB$127)</f>
        <v>0</v>
      </c>
      <c r="BC137" s="127">
        <f>SUMIF($E$4:$E$127,"520",$BC$4:$BC$127)</f>
        <v>170401033</v>
      </c>
      <c r="BD137" s="127">
        <f>SUMIF($E$4:$E$127,"520",$BD$4:$BD$127)</f>
        <v>785493</v>
      </c>
      <c r="BE137" s="127">
        <f>SUMIF($E$4:$E$127,"520",$BE$4:$BE$127)</f>
        <v>0</v>
      </c>
      <c r="BF137" s="127">
        <f>SUMIF($E$4:$E$127,"520",$BF$4:$BF$127)</f>
        <v>0</v>
      </c>
      <c r="BG137" s="127">
        <f>SUMIF($E$4:$E$127,"520",$BG$4:$BG$127)</f>
        <v>0</v>
      </c>
      <c r="BH137" s="127">
        <f>SUMIF($E$4:$E$127,"520",$BH$4:$BH$127)</f>
        <v>0</v>
      </c>
      <c r="BI137" s="127">
        <f>SUMIF($E$4:$E$127,"520",$BI$4:$BI$127)</f>
        <v>0</v>
      </c>
      <c r="BJ137" s="127">
        <f>SUMIF($E$4:$E$127,"520",$BJ$4:$BJ$127)</f>
        <v>56898009</v>
      </c>
      <c r="BK137" s="127">
        <f>SUMIF($E$4:$E$127,"520",$BK$4:$BK$127)</f>
        <v>72850566</v>
      </c>
      <c r="BL137" s="127">
        <f>SUMIF($E$4:$E$127,"520",$BL$4:$BL$127)</f>
        <v>0</v>
      </c>
      <c r="BM137" s="127">
        <f>SUMIF($E$4:$E$127,"520",$BM$4:$BM$127)</f>
        <v>0</v>
      </c>
      <c r="BN137" s="127">
        <f>SUMIF($E$4:$E$127,"111",$BN$4:$BN$127)</f>
        <v>0</v>
      </c>
      <c r="BO137" s="127"/>
      <c r="BP137" s="127">
        <f>SUMIF($E$4:$E$127,"520",$BP$4:$BP$127)</f>
        <v>0</v>
      </c>
      <c r="BQ137" s="127">
        <f>SUMIF($E$4:$E$127,"520",$BQ$4:$BQ$127)</f>
        <v>0</v>
      </c>
      <c r="BR137" s="128">
        <f>SUMIF($E$4:$E$127,"520",$BR$4:$BR$127)</f>
        <v>41880992</v>
      </c>
      <c r="BS137" s="129">
        <f t="shared" si="174"/>
        <v>0.73669382449555199</v>
      </c>
      <c r="BT137" s="30">
        <f t="shared" si="175"/>
        <v>1240222021</v>
      </c>
      <c r="BU137" s="124">
        <f>SUMIF($E$4:$E$127,"520",$BU$4:$BU$127)</f>
        <v>0</v>
      </c>
      <c r="BV137" s="124">
        <f>SUMIF($E$4:$E$127,"520",$BV$4:$BV$127)</f>
        <v>0</v>
      </c>
      <c r="BW137" s="124">
        <f>SUMIF($E$4:$E$127,"520",$BW$4:$BW$127)</f>
        <v>0</v>
      </c>
      <c r="BX137" s="124">
        <f>SUMIF($E$4:$E$127,"520",$BX$4:$BX$127)</f>
        <v>0</v>
      </c>
      <c r="BY137" s="124">
        <f>SUMIF($E$4:$E$127,"520",$BY$4:$BY$127)</f>
        <v>310663409</v>
      </c>
      <c r="BZ137" s="124">
        <f>SUMIF($E$4:$E$127,"520",$BZ$4:$BZ$127)</f>
        <v>49214507</v>
      </c>
      <c r="CA137" s="124">
        <f>SUMIF($E$4:$E$127,"520",$CA$4:$CA$127)</f>
        <v>0</v>
      </c>
      <c r="CB137" s="124">
        <f>SUMIF($E$4:$E$127,"520",$CB$4:$CB$127)</f>
        <v>0</v>
      </c>
      <c r="CC137" s="124">
        <f>SUMIF($E$4:$E$127,"520",$CC$4:$CC$127)</f>
        <v>0</v>
      </c>
      <c r="CD137" s="124">
        <f>SUMIF($E$4:$E$127,"520",$CD$4:$CD$127)</f>
        <v>0</v>
      </c>
      <c r="CE137" s="124">
        <f>SUMIF($E$4:$E$127,"520",$CE$4:$CE$127)</f>
        <v>0</v>
      </c>
      <c r="CF137" s="124">
        <f>SUMIF($E$4:$E$127,"520",$CF$4:$CF$127)</f>
        <v>185375614</v>
      </c>
      <c r="CG137" s="124">
        <f>SUMIF($E$4:$E$127,"520",$CG$4:$CG$127)</f>
        <v>247744258</v>
      </c>
      <c r="CH137" s="124">
        <f>SUMIF($E$4:$E$127,"520",$CH$4:$CH$127)</f>
        <v>0</v>
      </c>
      <c r="CI137" s="124">
        <f>SUMIF($E$4:$E$127,"520",$CI$4:$CI$127)</f>
        <v>0</v>
      </c>
      <c r="CJ137" s="124">
        <f>SUMIF($E$4:$E$127,"520",$CJ$4:$CJ$127)</f>
        <v>0</v>
      </c>
      <c r="CK137" s="124">
        <f>SUMIF($E$4:$E$127,"111",$CK$4:$CK$127)</f>
        <v>0</v>
      </c>
      <c r="CL137" s="124">
        <f>SUMIF($E$4:$E$127,"520",$CL$4:$CL$127)</f>
        <v>0</v>
      </c>
      <c r="CM137" s="124">
        <f>SUMIF($E$4:$E$127,"520",$CM$4:$CM$127)</f>
        <v>0</v>
      </c>
      <c r="CN137" s="130">
        <f>SUMIF($E$4:$E$127,"520",$CN$4:$CN$127)</f>
        <v>447224233</v>
      </c>
      <c r="CO137" s="27">
        <f t="shared" si="176"/>
        <v>0.26330617550444801</v>
      </c>
      <c r="CP137" s="30">
        <f t="shared" si="177"/>
        <v>443275220</v>
      </c>
      <c r="CQ137" s="127">
        <f>SUMIF($E$4:$E$127,"520",$CQ$4:$CQ$127)</f>
        <v>0</v>
      </c>
      <c r="CR137" s="127">
        <f>SUMIF($E$4:$E$127,"520",$CR$4:$CR$127)</f>
        <v>0</v>
      </c>
      <c r="CS137" s="127">
        <f>SUMIF($E$4:$E$127,"520",$CS$4:$CS$127)</f>
        <v>0</v>
      </c>
      <c r="CT137" s="127">
        <f>SUMIF($E$4:$E$127,"520",$CT$4:$CT$127)</f>
        <v>209336591</v>
      </c>
      <c r="CU137" s="127">
        <f>SUMIF($E$4:$E$127,"520",$CU$4:$CU$127)</f>
        <v>785493</v>
      </c>
      <c r="CV137" s="127">
        <f>SUMIF($E$4:$E$127,"520",$CV$4:$CV$127)</f>
        <v>0</v>
      </c>
      <c r="CW137" s="131">
        <f>SUMIF($E$4:$E$127,"520",$CW$4:$CW$127)</f>
        <v>0</v>
      </c>
      <c r="CX137" s="131">
        <f>SUMIF($E$4:$E$127,"520",$CX$4:$CX$127)</f>
        <v>0</v>
      </c>
      <c r="CY137" s="131">
        <f>SUMIF($E$4:$E$127,"520",$CY$4:$CY$127)</f>
        <v>0</v>
      </c>
      <c r="CZ137" s="131">
        <f>SUMIF($E$4:$E$127,"520",$CZ$4:$CZ$127)</f>
        <v>0</v>
      </c>
      <c r="DA137" s="131">
        <f>SUMIF($E$4:$E$127,"520",$DA$4:$DA$127)</f>
        <v>58624386</v>
      </c>
      <c r="DB137" s="131">
        <f>SUMIF($E$4:$E$127,"520",$DB$4:$DB$127)</f>
        <v>86157184</v>
      </c>
      <c r="DC137" s="131">
        <f>SUMIF($E$4:$E$127,"520",$DC$4:$DC$127)</f>
        <v>0</v>
      </c>
      <c r="DD137" s="131">
        <f>SUMIF($E$4:$E$127,"520",$DD$4:$DD$127)</f>
        <v>0</v>
      </c>
      <c r="DE137" s="131">
        <f>SUMIF($E$4:$E$127,"520",$DE$4:$DE$127)</f>
        <v>0</v>
      </c>
      <c r="DF137" s="131">
        <f>SUMIF($E$4:$E$127,"520",$DF$4:$DF$127)</f>
        <v>0</v>
      </c>
      <c r="DG137" s="131">
        <f>SUMIF($E$4:$E$127,"520",$DG$4:$DG$127)</f>
        <v>0</v>
      </c>
      <c r="DH137" s="131">
        <f>SUMIF($E$4:$E$127,"520",$DH$4:$DH$127)</f>
        <v>0</v>
      </c>
      <c r="DI137" s="131">
        <f>SUMIF($E$4:$E$127,"520",$DI$4:$DI$127)</f>
        <v>88371566</v>
      </c>
      <c r="DK137" s="78" t="s">
        <v>366</v>
      </c>
      <c r="DL137" s="78"/>
      <c r="DM137" s="276">
        <f>+G136</f>
        <v>1020280977</v>
      </c>
      <c r="DN137" s="276">
        <f>+BT136</f>
        <v>811920550</v>
      </c>
      <c r="DO137" s="278">
        <f>+BS136</f>
        <v>0.79578132720590755</v>
      </c>
    </row>
    <row r="138" spans="3:119" x14ac:dyDescent="0.25">
      <c r="C138" s="133"/>
      <c r="D138" s="122" t="s">
        <v>368</v>
      </c>
      <c r="E138" s="115" t="s">
        <v>340</v>
      </c>
      <c r="F138" s="123"/>
      <c r="G138" s="124">
        <f>SUMIF($E$4:$E$127,"520-2",$G$4:$G$127)</f>
        <v>3185000000</v>
      </c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3">
        <f>SUMIF($E$4:$E$127,"520-2",$T$4:$T$127)</f>
        <v>485000000</v>
      </c>
      <c r="U138" s="125"/>
      <c r="V138" s="125"/>
      <c r="W138" s="125"/>
      <c r="X138" s="123">
        <f>SUMIF($E$4:$E$127,"520-2",$X$4:$X$127)</f>
        <v>2700000000</v>
      </c>
      <c r="Y138" s="125"/>
      <c r="Z138" s="123">
        <f>SUMIF($E$4:$E$127,"520-2",$Z$4:$Z$127)</f>
        <v>0</v>
      </c>
      <c r="AB138" s="126">
        <f t="shared" si="170"/>
        <v>1</v>
      </c>
      <c r="AC138" s="30">
        <f t="shared" si="171"/>
        <v>3185000000</v>
      </c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>
        <f>SUMIF($E$4:$E$127,"520-2",$AQ$4:$AQ$127)</f>
        <v>485000000</v>
      </c>
      <c r="AR138" s="124"/>
      <c r="AS138" s="124"/>
      <c r="AT138" s="124">
        <f>SUMIF($E$4:$E$127,"520-2",$AT$4:$AT$127)</f>
        <v>0</v>
      </c>
      <c r="AU138" s="124">
        <f>SUMIF($E$4:$E$127,"520-2",$AU$4:$AU$127)</f>
        <v>2700000000</v>
      </c>
      <c r="AV138" s="124"/>
      <c r="AW138" s="124"/>
      <c r="AX138" s="109">
        <f t="shared" si="172"/>
        <v>0</v>
      </c>
      <c r="AY138" s="30">
        <f t="shared" si="173"/>
        <v>0</v>
      </c>
      <c r="AZ138" s="127"/>
      <c r="BA138" s="127"/>
      <c r="BB138" s="127"/>
      <c r="BC138" s="127"/>
      <c r="BD138" s="127"/>
      <c r="BE138" s="127"/>
      <c r="BF138" s="127"/>
      <c r="BG138" s="127"/>
      <c r="BH138" s="127"/>
      <c r="BI138" s="127"/>
      <c r="BJ138" s="127"/>
      <c r="BK138" s="127"/>
      <c r="BL138" s="127">
        <f>SUMIF($E$4:$E$127,"520-2",$BL$4:$BL$127)</f>
        <v>0</v>
      </c>
      <c r="BM138" s="127"/>
      <c r="BN138" s="127"/>
      <c r="BO138" s="127"/>
      <c r="BP138" s="127">
        <f>SUMIF($E$4:$E$127,"520-2",$BP$4:$BP$127)</f>
        <v>0</v>
      </c>
      <c r="BQ138" s="127"/>
      <c r="BR138" s="128"/>
      <c r="BS138" s="129">
        <f t="shared" si="174"/>
        <v>0.28313953406593406</v>
      </c>
      <c r="BT138" s="30">
        <f>SUM(BU138:CN138)</f>
        <v>901799416</v>
      </c>
      <c r="BU138" s="130"/>
      <c r="BV138" s="130"/>
      <c r="BW138" s="130"/>
      <c r="BX138" s="130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>
        <f>SUMIF($E$4:$E$127,"520-2",$CH$4:$CH$127)</f>
        <v>472748357</v>
      </c>
      <c r="CI138" s="124"/>
      <c r="CJ138" s="124"/>
      <c r="CK138" s="124">
        <f>SUMIF($E$4:$E$127,"111",$CK$4:$CK$127)</f>
        <v>0</v>
      </c>
      <c r="CL138" s="124">
        <f>SUMIF($E$4:$E$127,"520-2",$CL$4:$CL$127)</f>
        <v>429051059</v>
      </c>
      <c r="CM138" s="124"/>
      <c r="CN138" s="130"/>
      <c r="CO138" s="27">
        <f t="shared" si="176"/>
        <v>0.71686046593406594</v>
      </c>
      <c r="CP138" s="30">
        <f t="shared" si="177"/>
        <v>2283200584</v>
      </c>
      <c r="CQ138" s="128"/>
      <c r="CR138" s="128"/>
      <c r="CS138" s="128"/>
      <c r="CT138" s="127"/>
      <c r="CU138" s="127"/>
      <c r="CV138" s="127"/>
      <c r="CW138" s="131"/>
      <c r="CX138" s="131"/>
      <c r="CY138" s="131"/>
      <c r="CZ138" s="131"/>
      <c r="DA138" s="131"/>
      <c r="DB138" s="131"/>
      <c r="DC138" s="131">
        <f>SUMIF($E$4:$E$127,"520-2",$DC$4:$DC$127)</f>
        <v>12251643</v>
      </c>
      <c r="DD138" s="131"/>
      <c r="DE138" s="131"/>
      <c r="DF138" s="131">
        <f>SUMIF($E$4:$E$127,"520-2",$DF$4:$DF$127)</f>
        <v>0</v>
      </c>
      <c r="DG138" s="131">
        <f>SUMIF($E$4:$E$127,"520-2",$DG$4:$DG$127)</f>
        <v>2270948941</v>
      </c>
      <c r="DH138" s="131"/>
      <c r="DI138" s="131"/>
      <c r="DK138" s="282" t="s">
        <v>400</v>
      </c>
      <c r="DL138" s="282"/>
      <c r="DM138" s="276">
        <f>+G137</f>
        <v>1683497241</v>
      </c>
      <c r="DN138" s="276">
        <f>+BT137</f>
        <v>1240222021</v>
      </c>
      <c r="DO138" s="283">
        <f>+BS137</f>
        <v>0.73669382449555199</v>
      </c>
    </row>
    <row r="139" spans="3:119" x14ac:dyDescent="0.25">
      <c r="C139" s="133"/>
      <c r="D139" s="122" t="s">
        <v>369</v>
      </c>
      <c r="E139" s="1"/>
      <c r="F139" s="135"/>
      <c r="G139" s="136">
        <f t="shared" ref="G139:Z139" si="179">SUM(G132:G138)</f>
        <v>20107905349</v>
      </c>
      <c r="H139" s="136">
        <f t="shared" si="179"/>
        <v>0</v>
      </c>
      <c r="I139" s="136">
        <f t="shared" si="179"/>
        <v>8458835637</v>
      </c>
      <c r="J139" s="136">
        <f t="shared" si="179"/>
        <v>171003327</v>
      </c>
      <c r="K139" s="136">
        <f t="shared" si="179"/>
        <v>1899736650</v>
      </c>
      <c r="L139" s="136">
        <f t="shared" si="179"/>
        <v>138372986</v>
      </c>
      <c r="M139" s="136">
        <f t="shared" si="179"/>
        <v>54387</v>
      </c>
      <c r="N139" s="136">
        <f t="shared" si="179"/>
        <v>30665828</v>
      </c>
      <c r="O139" s="136">
        <f t="shared" si="179"/>
        <v>1940856</v>
      </c>
      <c r="P139" s="136">
        <f t="shared" si="179"/>
        <v>3438802</v>
      </c>
      <c r="Q139" s="136">
        <f t="shared" si="179"/>
        <v>345941457</v>
      </c>
      <c r="R139" s="136">
        <f t="shared" si="179"/>
        <v>2046332849</v>
      </c>
      <c r="S139" s="136">
        <f t="shared" si="179"/>
        <v>1142029623</v>
      </c>
      <c r="T139" s="136">
        <f t="shared" si="179"/>
        <v>486796640</v>
      </c>
      <c r="U139" s="136">
        <f t="shared" si="179"/>
        <v>1054833768</v>
      </c>
      <c r="V139" s="136">
        <f t="shared" si="179"/>
        <v>0</v>
      </c>
      <c r="W139" s="136">
        <f t="shared" si="179"/>
        <v>51295383</v>
      </c>
      <c r="X139" s="136">
        <f t="shared" si="179"/>
        <v>2700000000</v>
      </c>
      <c r="Y139" s="136">
        <f t="shared" si="179"/>
        <v>204741836</v>
      </c>
      <c r="Z139" s="136">
        <f t="shared" si="179"/>
        <v>1371885320</v>
      </c>
      <c r="AA139" s="137">
        <f>SUM(AA132:AA137)</f>
        <v>0</v>
      </c>
      <c r="AB139" s="126">
        <f t="shared" si="170"/>
        <v>0.78789983864668922</v>
      </c>
      <c r="AC139" s="136">
        <f t="shared" ref="AC139:AW139" si="180">SUM(AC132:AC138)</f>
        <v>15843015380</v>
      </c>
      <c r="AD139" s="136">
        <f t="shared" si="180"/>
        <v>0</v>
      </c>
      <c r="AE139" s="136">
        <f t="shared" si="180"/>
        <v>0</v>
      </c>
      <c r="AF139" s="136">
        <f t="shared" si="180"/>
        <v>6187253098</v>
      </c>
      <c r="AG139" s="136">
        <f t="shared" si="180"/>
        <v>52484687</v>
      </c>
      <c r="AH139" s="136">
        <f t="shared" si="180"/>
        <v>1555661793</v>
      </c>
      <c r="AI139" s="136">
        <f t="shared" si="180"/>
        <v>106280280</v>
      </c>
      <c r="AJ139" s="136">
        <f t="shared" si="180"/>
        <v>0</v>
      </c>
      <c r="AK139" s="136">
        <f t="shared" si="180"/>
        <v>0</v>
      </c>
      <c r="AL139" s="136">
        <f t="shared" si="180"/>
        <v>0</v>
      </c>
      <c r="AM139" s="136">
        <f t="shared" si="180"/>
        <v>0</v>
      </c>
      <c r="AN139" s="136">
        <f t="shared" si="180"/>
        <v>164856575</v>
      </c>
      <c r="AO139" s="136">
        <f t="shared" si="180"/>
        <v>1950159311</v>
      </c>
      <c r="AP139" s="136">
        <f t="shared" si="180"/>
        <v>838849102</v>
      </c>
      <c r="AQ139" s="136">
        <f t="shared" si="180"/>
        <v>486796640</v>
      </c>
      <c r="AR139" s="136">
        <f t="shared" si="180"/>
        <v>832240418</v>
      </c>
      <c r="AS139" s="136">
        <f t="shared" si="180"/>
        <v>0</v>
      </c>
      <c r="AT139" s="136">
        <f t="shared" si="180"/>
        <v>51295383</v>
      </c>
      <c r="AU139" s="136">
        <f t="shared" si="180"/>
        <v>2700000000</v>
      </c>
      <c r="AV139" s="136">
        <f t="shared" si="180"/>
        <v>114321836</v>
      </c>
      <c r="AW139" s="136">
        <f t="shared" si="180"/>
        <v>802816257</v>
      </c>
      <c r="AX139" s="109">
        <f t="shared" si="172"/>
        <v>0.21210016135331078</v>
      </c>
      <c r="AY139" s="138">
        <f t="shared" ref="AY139:BR139" si="181">SUM(AY132:AY138)</f>
        <v>4264889969</v>
      </c>
      <c r="AZ139" s="138">
        <f t="shared" si="181"/>
        <v>0</v>
      </c>
      <c r="BA139" s="138">
        <f t="shared" si="181"/>
        <v>2271582539</v>
      </c>
      <c r="BB139" s="138">
        <f t="shared" si="181"/>
        <v>118518640</v>
      </c>
      <c r="BC139" s="138">
        <f t="shared" si="181"/>
        <v>344074857</v>
      </c>
      <c r="BD139" s="138">
        <f t="shared" si="181"/>
        <v>32092706</v>
      </c>
      <c r="BE139" s="138">
        <f t="shared" si="181"/>
        <v>54387</v>
      </c>
      <c r="BF139" s="138">
        <f t="shared" si="181"/>
        <v>30665828</v>
      </c>
      <c r="BG139" s="138">
        <f t="shared" si="181"/>
        <v>1940856</v>
      </c>
      <c r="BH139" s="138">
        <f t="shared" si="181"/>
        <v>3438802</v>
      </c>
      <c r="BI139" s="138">
        <f t="shared" si="181"/>
        <v>181084882</v>
      </c>
      <c r="BJ139" s="138">
        <f t="shared" si="181"/>
        <v>96173538</v>
      </c>
      <c r="BK139" s="138">
        <f t="shared" si="181"/>
        <v>303180521</v>
      </c>
      <c r="BL139" s="138">
        <f t="shared" si="181"/>
        <v>0</v>
      </c>
      <c r="BM139" s="138">
        <f t="shared" si="181"/>
        <v>222593350</v>
      </c>
      <c r="BN139" s="138">
        <f t="shared" si="181"/>
        <v>0</v>
      </c>
      <c r="BO139" s="138">
        <f t="shared" si="181"/>
        <v>0</v>
      </c>
      <c r="BP139" s="138">
        <f t="shared" si="181"/>
        <v>0</v>
      </c>
      <c r="BQ139" s="138">
        <f t="shared" si="181"/>
        <v>90420000</v>
      </c>
      <c r="BR139" s="138">
        <f t="shared" si="181"/>
        <v>569069063</v>
      </c>
      <c r="BS139" s="129">
        <f t="shared" si="174"/>
        <v>0.50921649526807711</v>
      </c>
      <c r="BT139" s="30">
        <f t="shared" ref="BT139:CN139" si="182">SUM(BT132:BT138)</f>
        <v>10239277089</v>
      </c>
      <c r="BU139" s="30">
        <f t="shared" si="182"/>
        <v>0</v>
      </c>
      <c r="BV139" s="30">
        <f t="shared" si="182"/>
        <v>0</v>
      </c>
      <c r="BW139" s="30">
        <f t="shared" si="182"/>
        <v>4209298530</v>
      </c>
      <c r="BX139" s="30">
        <f t="shared" si="182"/>
        <v>45348340</v>
      </c>
      <c r="BY139" s="30">
        <f t="shared" si="182"/>
        <v>1318852937</v>
      </c>
      <c r="BZ139" s="30">
        <f t="shared" si="182"/>
        <v>98718903</v>
      </c>
      <c r="CA139" s="30">
        <f t="shared" si="182"/>
        <v>0</v>
      </c>
      <c r="CB139" s="30">
        <f t="shared" si="182"/>
        <v>0</v>
      </c>
      <c r="CC139" s="30">
        <f t="shared" si="182"/>
        <v>0</v>
      </c>
      <c r="CD139" s="30">
        <f t="shared" si="182"/>
        <v>0</v>
      </c>
      <c r="CE139" s="30">
        <f t="shared" si="182"/>
        <v>94856575</v>
      </c>
      <c r="CF139" s="30">
        <f t="shared" si="182"/>
        <v>1270822002</v>
      </c>
      <c r="CG139" s="30">
        <f t="shared" si="182"/>
        <v>801245279</v>
      </c>
      <c r="CH139" s="30">
        <f t="shared" si="182"/>
        <v>474544997</v>
      </c>
      <c r="CI139" s="30">
        <f t="shared" si="182"/>
        <v>766242889</v>
      </c>
      <c r="CJ139" s="30">
        <f t="shared" si="182"/>
        <v>0</v>
      </c>
      <c r="CK139" s="30">
        <f t="shared" si="182"/>
        <v>0</v>
      </c>
      <c r="CL139" s="30">
        <f t="shared" si="182"/>
        <v>429051059</v>
      </c>
      <c r="CM139" s="30">
        <f t="shared" si="182"/>
        <v>23350298</v>
      </c>
      <c r="CN139" s="30">
        <f t="shared" si="182"/>
        <v>706945280</v>
      </c>
      <c r="CO139" s="27">
        <f t="shared" si="176"/>
        <v>0.49078350473192289</v>
      </c>
      <c r="CP139" s="136">
        <f t="shared" ref="CP139:DI139" ca="1" si="183">SUM(CP132:CP138)</f>
        <v>9868628260</v>
      </c>
      <c r="CQ139" s="136">
        <f t="shared" ca="1" si="183"/>
        <v>0</v>
      </c>
      <c r="CR139" s="136">
        <f t="shared" si="183"/>
        <v>4249537107</v>
      </c>
      <c r="CS139" s="136">
        <f t="shared" si="183"/>
        <v>125654987</v>
      </c>
      <c r="CT139" s="136">
        <f t="shared" si="183"/>
        <v>580883713</v>
      </c>
      <c r="CU139" s="136">
        <f t="shared" si="183"/>
        <v>39654083</v>
      </c>
      <c r="CV139" s="136">
        <f t="shared" si="183"/>
        <v>54387</v>
      </c>
      <c r="CW139" s="136">
        <f t="shared" si="183"/>
        <v>30665828</v>
      </c>
      <c r="CX139" s="136">
        <f t="shared" si="183"/>
        <v>1940856</v>
      </c>
      <c r="CY139" s="136">
        <f t="shared" si="183"/>
        <v>3438802</v>
      </c>
      <c r="CZ139" s="136">
        <f t="shared" si="183"/>
        <v>251084882</v>
      </c>
      <c r="DA139" s="136">
        <f t="shared" si="183"/>
        <v>775510847</v>
      </c>
      <c r="DB139" s="136">
        <f t="shared" si="183"/>
        <v>340784344</v>
      </c>
      <c r="DC139" s="136">
        <f t="shared" si="183"/>
        <v>12251643</v>
      </c>
      <c r="DD139" s="136">
        <f t="shared" si="183"/>
        <v>288590879</v>
      </c>
      <c r="DE139" s="136">
        <f t="shared" si="183"/>
        <v>0</v>
      </c>
      <c r="DF139" s="136">
        <f t="shared" si="183"/>
        <v>51295383</v>
      </c>
      <c r="DG139" s="136">
        <f t="shared" si="183"/>
        <v>2270948941</v>
      </c>
      <c r="DH139" s="136">
        <f t="shared" si="183"/>
        <v>181391538</v>
      </c>
      <c r="DI139" s="136">
        <f t="shared" si="183"/>
        <v>664940040</v>
      </c>
      <c r="DK139" s="78" t="s">
        <v>401</v>
      </c>
      <c r="DL139" s="78"/>
      <c r="DM139" s="276">
        <f t="shared" si="178"/>
        <v>3185000000</v>
      </c>
      <c r="DN139" s="276">
        <f>+BT138</f>
        <v>901799416</v>
      </c>
      <c r="DO139" s="278">
        <f>+BS138</f>
        <v>0.28313953406593406</v>
      </c>
    </row>
    <row r="140" spans="3:119" x14ac:dyDescent="0.25">
      <c r="C140" s="133"/>
      <c r="D140" s="122" t="s">
        <v>259</v>
      </c>
      <c r="E140" s="139">
        <v>301</v>
      </c>
      <c r="F140" s="123"/>
      <c r="G140" s="124">
        <f>SUMIF($E$4:$E$127,"301",$G$4:$G$127)</f>
        <v>2606465655</v>
      </c>
      <c r="H140" s="125">
        <f>SUMIF($E$4:$E$127,"301",$H$4:$H$127)</f>
        <v>200000000</v>
      </c>
      <c r="I140" s="125">
        <f>SUMIF($E$4:$E$127,"301",$I$4:$I$127)</f>
        <v>268168096</v>
      </c>
      <c r="J140" s="124">
        <f>SUMIF($E$4:$E$127,"301",$J$4:$J$127)</f>
        <v>0</v>
      </c>
      <c r="K140" s="123">
        <f>SUMIF($E$4:$E$127,"301",$K$4:$K$127)</f>
        <v>701280247</v>
      </c>
      <c r="L140" s="123">
        <f>SUMIF($E$4:$E$127,"301",$L$4:$L$127)</f>
        <v>0</v>
      </c>
      <c r="M140" s="123">
        <f>SUMIF($E$4:$E$127,"301",$M$4:$M$127)</f>
        <v>0</v>
      </c>
      <c r="N140" s="123">
        <f>SUMIF($E$4:$E$127,"301",$N$4:$N$127)</f>
        <v>0</v>
      </c>
      <c r="O140" s="123">
        <f>SUMIF($E$4:$E$127,"301",$O$4:$O$127)</f>
        <v>0</v>
      </c>
      <c r="P140" s="123">
        <f>SUMIF($E$4:$E$127,"301",$P$4:$P$127)</f>
        <v>0</v>
      </c>
      <c r="Q140" s="123">
        <f>SUMIF($E$4:$E$127,"301",$Q$4:$Q$127)</f>
        <v>0</v>
      </c>
      <c r="R140" s="123">
        <f>SUMIF($E$4:$E$127,"301",$R$4:$R$127)</f>
        <v>0</v>
      </c>
      <c r="S140" s="123">
        <f>SUMIF($E$4:$E$127,"301",$S$4:$S$127)</f>
        <v>0</v>
      </c>
      <c r="T140" s="123">
        <f>SUMIF($E$4:$E$127,"301",$T$4:$T$127)</f>
        <v>0</v>
      </c>
      <c r="U140" s="123">
        <f>SUMIF($E$4:$E$127,"301",$U$4:$U$127)</f>
        <v>103185104</v>
      </c>
      <c r="V140" s="123">
        <f>SUMIF($E$4:$E$119,"301",$V$4:$V$119)</f>
        <v>1262551657</v>
      </c>
      <c r="W140" s="123"/>
      <c r="X140" s="123">
        <f>SUMIF($E$4:$E$119,"301",$X$4:$X$119)</f>
        <v>0</v>
      </c>
      <c r="Y140" s="123">
        <f>SUMIF($E$4:$E$127,"301",$Y$4:$Y$127)</f>
        <v>0</v>
      </c>
      <c r="Z140" s="123">
        <f>SUMIF($E$4:$E$127,"301",$Z$4:$Z$127)</f>
        <v>71280551</v>
      </c>
      <c r="AB140" s="126">
        <f t="shared" si="170"/>
        <v>0.86550847645832496</v>
      </c>
      <c r="AC140" s="30">
        <f>SUM(AE140:AW140)</f>
        <v>2255918118</v>
      </c>
      <c r="AD140" s="124">
        <f>SUMIF($E$4:$E$127,"301",$AD$4:$AD$127)</f>
        <v>0</v>
      </c>
      <c r="AE140" s="124">
        <f>SUMIF($E$4:$E$127,"301",$AE$4:$AE$127)</f>
        <v>200000000</v>
      </c>
      <c r="AF140" s="124">
        <f>SUMIF($E$4:$E$127,"301",$AF$4:$AF$127)</f>
        <v>268168096</v>
      </c>
      <c r="AG140" s="124">
        <f>SUMIF($E$4:$E$127,"301",$AG$4:$AG$127)</f>
        <v>0</v>
      </c>
      <c r="AH140" s="124">
        <f>SUMIF($E$4:$E$127,"301",$AH$4:$AH$127)</f>
        <v>701280247</v>
      </c>
      <c r="AI140" s="124">
        <f>SUMIF($E$4:$E$127,"301",$AI$4:$AI$127)</f>
        <v>0</v>
      </c>
      <c r="AJ140" s="124">
        <f>SUMIF($E$4:$E$127,"301",$AJ$4:$AJ$127)</f>
        <v>0</v>
      </c>
      <c r="AK140" s="124">
        <f>SUMIF($E$4:$E$127,"301",$AK$4:$AK$127)</f>
        <v>0</v>
      </c>
      <c r="AL140" s="124">
        <f>SUMIF($E$4:$E$127,"301",$AL$4:$AL$127)</f>
        <v>0</v>
      </c>
      <c r="AM140" s="124">
        <f>SUMIF($E$4:$E$127,"301",$AM$4:$AM$127)</f>
        <v>0</v>
      </c>
      <c r="AN140" s="124">
        <f>SUMIF($E$4:$E$127,"301",$AN$4:$AN$127)</f>
        <v>0</v>
      </c>
      <c r="AO140" s="124">
        <f>SUMIF($E$4:$E$127,"301",$AO$4:$AO$127)</f>
        <v>0</v>
      </c>
      <c r="AP140" s="124">
        <f>SUMIF($E$4:$E$127,"301",$AP$4:$AP$127)</f>
        <v>0</v>
      </c>
      <c r="AQ140" s="124">
        <f>SUMIF($E$4:$E$127,"301",$AQ$4:$AQ$127)</f>
        <v>0</v>
      </c>
      <c r="AR140" s="124">
        <f>SUMIF($E$4:$E$127,"301",$AR$4:$AR$127)</f>
        <v>47258973</v>
      </c>
      <c r="AS140" s="124">
        <f>SUMIF($E$4:$E$127,"301",$AS$4:$AS$127)</f>
        <v>1011320055</v>
      </c>
      <c r="AT140" s="124">
        <f>SUMIF($E$4:$E$127,"301",$AT$4:$AT$127)</f>
        <v>0</v>
      </c>
      <c r="AU140" s="124">
        <f>SUMIF($E$4:$E$127,"301",$AU$4:$AU$127)</f>
        <v>0</v>
      </c>
      <c r="AV140" s="124">
        <f>SUMIF($E$4:$E$127,"301",$AV$4:$AV$127)</f>
        <v>0</v>
      </c>
      <c r="AW140" s="124">
        <f>SUMIF($E$4:$E$127,"301",$AW$4:$AW$127)</f>
        <v>27890747</v>
      </c>
      <c r="AX140" s="109">
        <f t="shared" si="172"/>
        <v>0.13449152354167504</v>
      </c>
      <c r="AY140" s="30">
        <f>SUM(AZ140:BR140)</f>
        <v>350547537</v>
      </c>
      <c r="AZ140" s="127">
        <f>SUMIF($E$4:$E$127,"301",$AZ$4:$AZ$127)</f>
        <v>0</v>
      </c>
      <c r="BA140" s="127">
        <f>SUMIF($E$4:$E$127,"301",$BA$4:$BA$127)</f>
        <v>0</v>
      </c>
      <c r="BB140" s="127">
        <f>SUMIF($E$4:$E$127,"301",$BB$4:$BB$127)</f>
        <v>0</v>
      </c>
      <c r="BC140" s="127">
        <f>SUMIF($E$4:$E$127,"301",$BC$4:$BC$127)</f>
        <v>0</v>
      </c>
      <c r="BD140" s="127">
        <f>SUMIF($E$4:$E$127,"301",$BD$4:$BD$127)</f>
        <v>0</v>
      </c>
      <c r="BE140" s="127">
        <f>SUMIF($E$4:$E$127,"301",$BE$4:$BE$127)</f>
        <v>0</v>
      </c>
      <c r="BF140" s="127">
        <f>SUMIF($E$4:$E$127,"301",$BF$4:$BF$127)</f>
        <v>0</v>
      </c>
      <c r="BG140" s="127">
        <f>SUMIF($E$4:$E$127,"301",$BG$4:$BG$127)</f>
        <v>0</v>
      </c>
      <c r="BH140" s="127">
        <f>SUMIF($E$4:$E$127,"301",$BH$4:$BH$127)</f>
        <v>0</v>
      </c>
      <c r="BI140" s="127">
        <f>SUMIF($E$4:$E$127,"301",$BI$4:$BI$127)</f>
        <v>0</v>
      </c>
      <c r="BJ140" s="127">
        <f>SUMIF($E$4:$E$127,"301",$BJ$4:$BJ$127)</f>
        <v>0</v>
      </c>
      <c r="BK140" s="127">
        <f>SUMIF($E$4:$E$127,"301",$BK$4:$BK$127)</f>
        <v>0</v>
      </c>
      <c r="BL140" s="127">
        <f>SUMIF($E$4:$E$127,"301",$BL$4:$BL$127)</f>
        <v>0</v>
      </c>
      <c r="BM140" s="127">
        <f>SUMIF($E$4:$E$127,"301",$BM$4:$BM$127)</f>
        <v>55926131</v>
      </c>
      <c r="BN140" s="127">
        <f>SUMIF($E$4:$E$127,"301",$BN$4:$BN$127)</f>
        <v>251231602</v>
      </c>
      <c r="BO140" s="127"/>
      <c r="BP140" s="127">
        <f>SUMIF($E$4:$E$127,"301",$BP$4:$BP$127)</f>
        <v>0</v>
      </c>
      <c r="BQ140" s="127"/>
      <c r="BR140" s="128">
        <f>SUMIF($E$4:$E$127,"301",$BR$4:$BR$127)</f>
        <v>43389804</v>
      </c>
      <c r="BS140" s="129">
        <f t="shared" si="174"/>
        <v>0.83144427851668734</v>
      </c>
      <c r="BT140" s="30">
        <f>SUM(BV140:CN140)</f>
        <v>2167130956</v>
      </c>
      <c r="BU140" s="124">
        <f>SUMIF($E$4:$E$127,"111",$BU$4:$BU$127)</f>
        <v>0</v>
      </c>
      <c r="BV140" s="124">
        <f>SUMIF($E$4:$E$127,"301",$BV$4:$BV$127)</f>
        <v>198408143</v>
      </c>
      <c r="BW140" s="124">
        <f>SUMIF($E$4:$E$127,"301",$BW$4:$BW$127)</f>
        <v>268168096</v>
      </c>
      <c r="BX140" s="124">
        <f>SUMIF($E$4:$E$127,"301",$BX$4:$BX$127)</f>
        <v>0</v>
      </c>
      <c r="BY140" s="124">
        <f>SUMIF($E$4:$E$127,"301",$BY$4:$BY$127)</f>
        <v>701280247</v>
      </c>
      <c r="BZ140" s="124">
        <f>SUMIF($E$4:$E$127,"301",$BZ$4:$BZ$127)</f>
        <v>0</v>
      </c>
      <c r="CA140" s="124">
        <f>SUMIF($E$4:$E$127,"301",$CA$4:$CA$127)</f>
        <v>0</v>
      </c>
      <c r="CB140" s="124">
        <f>SUMIF($E$4:$E$127,"301",$CB$4:$CB$127)</f>
        <v>0</v>
      </c>
      <c r="CC140" s="124">
        <f>SUMIF($E$4:$E$127,"301",$CC$4:$CC$127)</f>
        <v>0</v>
      </c>
      <c r="CD140" s="124">
        <f>SUMIF($E$4:$E$127,"301",$CD$4:$CD$127)</f>
        <v>0</v>
      </c>
      <c r="CE140" s="124">
        <f>SUMIF($E$4:$E$127,"301",$CE$4:$CE$127)</f>
        <v>0</v>
      </c>
      <c r="CF140" s="124">
        <f>SUMIF($E$4:$E$127,"301",$CF$4:$CF$127)</f>
        <v>0</v>
      </c>
      <c r="CG140" s="124">
        <f>SUMIF($E$4:$E$127,"301",$CG$4:$CG$127)</f>
        <v>0</v>
      </c>
      <c r="CH140" s="124">
        <f>SUMIF($E$4:$E$127,"301",$CH$4:$CH$127)</f>
        <v>0</v>
      </c>
      <c r="CI140" s="124">
        <f>SUMIF($E$4:$E$127,"301",$CI$4:$CI$127)</f>
        <v>47258973</v>
      </c>
      <c r="CJ140" s="124">
        <f>SUMIF($E$4:$E$127,"301",$CJ$4:$CJ$127)</f>
        <v>925219270</v>
      </c>
      <c r="CK140" s="124">
        <f>SUMIF($E$4:$E$127,"301",$CK$4:$CK$127)</f>
        <v>0</v>
      </c>
      <c r="CL140" s="124">
        <f>SUMIF($E$4:$E$127,"301",$CL$4:$CL$127)</f>
        <v>0</v>
      </c>
      <c r="CM140" s="124">
        <f>SUMIF($E$4:$E$127,"301",$CM$4:$CM$127)</f>
        <v>0</v>
      </c>
      <c r="CN140" s="130">
        <f>SUMIF($E$4:$E$127,"301",$CN$4:$CN$127)</f>
        <v>26796227</v>
      </c>
      <c r="CO140" s="27">
        <f t="shared" si="176"/>
        <v>0.16855572148331266</v>
      </c>
      <c r="CP140" s="30">
        <f>SUM(CQ140:DI140)</f>
        <v>439334699</v>
      </c>
      <c r="CQ140" s="127">
        <f>SUMIF($E$4:$E$127,"301",$CQ$4:$CQ$127)</f>
        <v>1591857</v>
      </c>
      <c r="CR140" s="127">
        <f>SUMIF($E$4:$E$127,"301",$CR$4:$CR$127)</f>
        <v>0</v>
      </c>
      <c r="CS140" s="127">
        <f>SUMIF($E$4:$E$127,"301",$CS$4:$CS$127)</f>
        <v>0</v>
      </c>
      <c r="CT140" s="127">
        <f>SUMIF($E$4:$E$127,"301",$CT$4:$CT$127)</f>
        <v>0</v>
      </c>
      <c r="CU140" s="127">
        <f>SUMIF($E$4:$E$127,"301",$CU$4:$CU$127)</f>
        <v>0</v>
      </c>
      <c r="CV140" s="127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1">
        <f>SUMIF($E$4:$E$127,"301",$CZ$4:$CZ$127)</f>
        <v>0</v>
      </c>
      <c r="DA140" s="131">
        <f>SUMIF($E$4:$E$127,"301",$DA$4:$DA$127)</f>
        <v>0</v>
      </c>
      <c r="DB140" s="131">
        <f>SUMIF($E$4:$E$127,"301",$DB$4:$DB$127)</f>
        <v>0</v>
      </c>
      <c r="DC140" s="131">
        <f>SUMIF($E$4:$E$127,"301",$DC$4:$DC$127)</f>
        <v>0</v>
      </c>
      <c r="DD140" s="131">
        <f>SUMIF($E$4:$E$127,"301",$DD$4:$DD$127)</f>
        <v>55926131</v>
      </c>
      <c r="DE140" s="131">
        <f>SUMIF($E$4:$E$127,"301",$DE$4:$DE$127)</f>
        <v>337332387</v>
      </c>
      <c r="DF140" s="131">
        <f>SUMIF($E$4:$E$127,"301",$DF$4:$DF$127)</f>
        <v>0</v>
      </c>
      <c r="DG140" s="131">
        <f>SUMIF($E$4:$E$127,"301",$DG$4:$DG$127)</f>
        <v>0</v>
      </c>
      <c r="DH140" s="131">
        <f>SUMIF($E$4:$E$127,"301",$DH$4:$DH$127)</f>
        <v>0</v>
      </c>
      <c r="DI140" s="131">
        <f>SUMIF($E$4:$E$127,"301",$DI$4:$DI$127)</f>
        <v>44484324</v>
      </c>
      <c r="DK140" s="78" t="s">
        <v>402</v>
      </c>
      <c r="DL140" s="78"/>
      <c r="DM140" s="276">
        <f>+G140</f>
        <v>2606465655</v>
      </c>
      <c r="DN140" s="276">
        <f>+BT140</f>
        <v>2167130956</v>
      </c>
      <c r="DO140" s="278">
        <f>+BS140</f>
        <v>0.83144427851668734</v>
      </c>
    </row>
    <row r="141" spans="3:119" ht="15.75" thickBot="1" x14ac:dyDescent="0.3">
      <c r="C141" s="213" t="s">
        <v>370</v>
      </c>
      <c r="D141" s="214"/>
      <c r="E141" s="140"/>
      <c r="F141" s="141"/>
      <c r="G141" s="142">
        <f t="shared" ref="G141:AA141" si="184">SUM(G139:G140)</f>
        <v>22714371004</v>
      </c>
      <c r="H141" s="142">
        <f t="shared" si="184"/>
        <v>200000000</v>
      </c>
      <c r="I141" s="142">
        <f t="shared" si="184"/>
        <v>8727003733</v>
      </c>
      <c r="J141" s="142">
        <f t="shared" si="184"/>
        <v>171003327</v>
      </c>
      <c r="K141" s="142">
        <f t="shared" si="184"/>
        <v>2601016897</v>
      </c>
      <c r="L141" s="142">
        <f t="shared" si="184"/>
        <v>138372986</v>
      </c>
      <c r="M141" s="142">
        <f t="shared" si="184"/>
        <v>54387</v>
      </c>
      <c r="N141" s="142">
        <f t="shared" si="184"/>
        <v>30665828</v>
      </c>
      <c r="O141" s="142">
        <f t="shared" si="184"/>
        <v>1940856</v>
      </c>
      <c r="P141" s="142">
        <f t="shared" si="184"/>
        <v>3438802</v>
      </c>
      <c r="Q141" s="142">
        <f t="shared" si="184"/>
        <v>345941457</v>
      </c>
      <c r="R141" s="142">
        <f t="shared" si="184"/>
        <v>2046332849</v>
      </c>
      <c r="S141" s="142">
        <f t="shared" si="184"/>
        <v>1142029623</v>
      </c>
      <c r="T141" s="143">
        <f t="shared" si="184"/>
        <v>486796640</v>
      </c>
      <c r="U141" s="142">
        <f t="shared" si="184"/>
        <v>1158018872</v>
      </c>
      <c r="V141" s="142">
        <f t="shared" si="184"/>
        <v>1262551657</v>
      </c>
      <c r="W141" s="142">
        <f t="shared" si="184"/>
        <v>51295383</v>
      </c>
      <c r="X141" s="142">
        <f t="shared" si="184"/>
        <v>2700000000</v>
      </c>
      <c r="Y141" s="142">
        <f t="shared" si="184"/>
        <v>204741836</v>
      </c>
      <c r="Z141" s="142">
        <f t="shared" si="184"/>
        <v>1443165871</v>
      </c>
      <c r="AA141" s="142">
        <f t="shared" si="184"/>
        <v>0</v>
      </c>
      <c r="AB141" s="144">
        <f t="shared" si="170"/>
        <v>0.79680540107462272</v>
      </c>
      <c r="AC141" s="145">
        <f t="shared" ref="AC141:AW141" si="185">AC139+AC140</f>
        <v>18098933498</v>
      </c>
      <c r="AD141" s="145">
        <f t="shared" si="185"/>
        <v>0</v>
      </c>
      <c r="AE141" s="145">
        <f t="shared" si="185"/>
        <v>200000000</v>
      </c>
      <c r="AF141" s="145">
        <f t="shared" si="185"/>
        <v>6455421194</v>
      </c>
      <c r="AG141" s="145">
        <f t="shared" si="185"/>
        <v>52484687</v>
      </c>
      <c r="AH141" s="145">
        <f t="shared" si="185"/>
        <v>2256942040</v>
      </c>
      <c r="AI141" s="145">
        <f t="shared" si="185"/>
        <v>106280280</v>
      </c>
      <c r="AJ141" s="145">
        <f t="shared" si="185"/>
        <v>0</v>
      </c>
      <c r="AK141" s="145">
        <f t="shared" si="185"/>
        <v>0</v>
      </c>
      <c r="AL141" s="145">
        <f t="shared" si="185"/>
        <v>0</v>
      </c>
      <c r="AM141" s="145">
        <f t="shared" si="185"/>
        <v>0</v>
      </c>
      <c r="AN141" s="145">
        <f t="shared" si="185"/>
        <v>164856575</v>
      </c>
      <c r="AO141" s="145">
        <f t="shared" si="185"/>
        <v>1950159311</v>
      </c>
      <c r="AP141" s="145">
        <f t="shared" si="185"/>
        <v>838849102</v>
      </c>
      <c r="AQ141" s="145">
        <f t="shared" si="185"/>
        <v>486796640</v>
      </c>
      <c r="AR141" s="145">
        <f t="shared" si="185"/>
        <v>879499391</v>
      </c>
      <c r="AS141" s="145">
        <f t="shared" si="185"/>
        <v>1011320055</v>
      </c>
      <c r="AT141" s="145">
        <f t="shared" si="185"/>
        <v>51295383</v>
      </c>
      <c r="AU141" s="145">
        <f t="shared" si="185"/>
        <v>2700000000</v>
      </c>
      <c r="AV141" s="145">
        <f t="shared" si="185"/>
        <v>114321836</v>
      </c>
      <c r="AW141" s="145">
        <f t="shared" si="185"/>
        <v>830707004</v>
      </c>
      <c r="AX141" s="109">
        <f t="shared" si="172"/>
        <v>0.20319459892537728</v>
      </c>
      <c r="AY141" s="145">
        <f>AY139+AY140</f>
        <v>4615437506</v>
      </c>
      <c r="AZ141" s="145">
        <f>AZ139+AZ140</f>
        <v>0</v>
      </c>
      <c r="BA141" s="146">
        <f t="shared" ref="BA141:BR141" si="186">+BA139+BA140</f>
        <v>2271582539</v>
      </c>
      <c r="BB141" s="146">
        <f t="shared" si="186"/>
        <v>118518640</v>
      </c>
      <c r="BC141" s="146">
        <f t="shared" si="186"/>
        <v>344074857</v>
      </c>
      <c r="BD141" s="146">
        <f t="shared" si="186"/>
        <v>32092706</v>
      </c>
      <c r="BE141" s="146">
        <f t="shared" si="186"/>
        <v>54387</v>
      </c>
      <c r="BF141" s="146">
        <f t="shared" si="186"/>
        <v>30665828</v>
      </c>
      <c r="BG141" s="146">
        <f t="shared" si="186"/>
        <v>1940856</v>
      </c>
      <c r="BH141" s="146">
        <f t="shared" si="186"/>
        <v>3438802</v>
      </c>
      <c r="BI141" s="146">
        <f t="shared" si="186"/>
        <v>181084882</v>
      </c>
      <c r="BJ141" s="146">
        <f t="shared" si="186"/>
        <v>96173538</v>
      </c>
      <c r="BK141" s="146">
        <f t="shared" si="186"/>
        <v>303180521</v>
      </c>
      <c r="BL141" s="146">
        <f t="shared" si="186"/>
        <v>0</v>
      </c>
      <c r="BM141" s="146">
        <f t="shared" si="186"/>
        <v>278519481</v>
      </c>
      <c r="BN141" s="146">
        <f t="shared" si="186"/>
        <v>251231602</v>
      </c>
      <c r="BO141" s="146">
        <f t="shared" si="186"/>
        <v>0</v>
      </c>
      <c r="BP141" s="146">
        <f t="shared" si="186"/>
        <v>0</v>
      </c>
      <c r="BQ141" s="146">
        <f t="shared" si="186"/>
        <v>90420000</v>
      </c>
      <c r="BR141" s="146">
        <f t="shared" si="186"/>
        <v>612458867</v>
      </c>
      <c r="BS141" s="147">
        <f t="shared" si="174"/>
        <v>0.54619201398159922</v>
      </c>
      <c r="BT141" s="148">
        <f>+BT139+BT140</f>
        <v>12406408045</v>
      </c>
      <c r="BU141" s="146">
        <f>+BU139+BU140</f>
        <v>0</v>
      </c>
      <c r="BV141" s="146">
        <f>+BV139+BV140</f>
        <v>198408143</v>
      </c>
      <c r="BW141" s="146">
        <f>+BW139+BW140</f>
        <v>4477466626</v>
      </c>
      <c r="BX141" s="146">
        <f>+BX139+BX140</f>
        <v>45348340</v>
      </c>
      <c r="BY141" s="142">
        <f t="shared" ref="BY141:CN141" si="187">SUM(BY139:BY140)</f>
        <v>2020133184</v>
      </c>
      <c r="BZ141" s="142">
        <f t="shared" si="187"/>
        <v>98718903</v>
      </c>
      <c r="CA141" s="142">
        <f t="shared" si="187"/>
        <v>0</v>
      </c>
      <c r="CB141" s="142">
        <f t="shared" si="187"/>
        <v>0</v>
      </c>
      <c r="CC141" s="142">
        <f t="shared" si="187"/>
        <v>0</v>
      </c>
      <c r="CD141" s="142">
        <f t="shared" si="187"/>
        <v>0</v>
      </c>
      <c r="CE141" s="142">
        <f t="shared" si="187"/>
        <v>94856575</v>
      </c>
      <c r="CF141" s="142">
        <f t="shared" si="187"/>
        <v>1270822002</v>
      </c>
      <c r="CG141" s="142">
        <f t="shared" si="187"/>
        <v>801245279</v>
      </c>
      <c r="CH141" s="142">
        <f t="shared" si="187"/>
        <v>474544997</v>
      </c>
      <c r="CI141" s="142">
        <f t="shared" si="187"/>
        <v>813501862</v>
      </c>
      <c r="CJ141" s="142">
        <f t="shared" si="187"/>
        <v>925219270</v>
      </c>
      <c r="CK141" s="142">
        <f t="shared" si="187"/>
        <v>0</v>
      </c>
      <c r="CL141" s="142">
        <f t="shared" si="187"/>
        <v>429051059</v>
      </c>
      <c r="CM141" s="142">
        <f t="shared" si="187"/>
        <v>23350298</v>
      </c>
      <c r="CN141" s="149">
        <f t="shared" si="187"/>
        <v>733741507</v>
      </c>
      <c r="CO141" s="150">
        <f t="shared" si="176"/>
        <v>0.45380798601840078</v>
      </c>
      <c r="CP141" s="142">
        <f t="shared" ref="CP141:DI141" ca="1" si="188">SUM(CP139:CP140)</f>
        <v>10307962959</v>
      </c>
      <c r="CQ141" s="149">
        <f t="shared" ca="1" si="188"/>
        <v>1591857</v>
      </c>
      <c r="CR141" s="149">
        <f t="shared" si="188"/>
        <v>4249537107</v>
      </c>
      <c r="CS141" s="149">
        <f t="shared" si="188"/>
        <v>125654987</v>
      </c>
      <c r="CT141" s="142">
        <f t="shared" si="188"/>
        <v>580883713</v>
      </c>
      <c r="CU141" s="142">
        <f t="shared" si="188"/>
        <v>39654083</v>
      </c>
      <c r="CV141" s="142">
        <f t="shared" si="188"/>
        <v>54387</v>
      </c>
      <c r="CW141" s="151">
        <f t="shared" si="188"/>
        <v>30665828</v>
      </c>
      <c r="CX141" s="151">
        <f t="shared" si="188"/>
        <v>1940856</v>
      </c>
      <c r="CY141" s="151">
        <f t="shared" si="188"/>
        <v>3438802</v>
      </c>
      <c r="CZ141" s="151">
        <f t="shared" si="188"/>
        <v>251084882</v>
      </c>
      <c r="DA141" s="151">
        <f t="shared" si="188"/>
        <v>775510847</v>
      </c>
      <c r="DB141" s="151">
        <f t="shared" si="188"/>
        <v>340784344</v>
      </c>
      <c r="DC141" s="151">
        <f t="shared" si="188"/>
        <v>12251643</v>
      </c>
      <c r="DD141" s="151">
        <f t="shared" si="188"/>
        <v>344517010</v>
      </c>
      <c r="DE141" s="151">
        <f t="shared" si="188"/>
        <v>337332387</v>
      </c>
      <c r="DF141" s="151">
        <f t="shared" si="188"/>
        <v>51295383</v>
      </c>
      <c r="DG141" s="151">
        <f t="shared" si="188"/>
        <v>2270948941</v>
      </c>
      <c r="DH141" s="151">
        <f t="shared" si="188"/>
        <v>181391538</v>
      </c>
      <c r="DI141" s="151">
        <f t="shared" si="188"/>
        <v>709424364</v>
      </c>
      <c r="DK141" s="279" t="s">
        <v>15</v>
      </c>
      <c r="DL141" s="279"/>
      <c r="DM141" s="276">
        <f>DM133+DM134+DM135+DM136+DM137+DM138+DM139+DM140</f>
        <v>22714371004</v>
      </c>
      <c r="DN141" s="276">
        <f>DN133+DN134+DN135+DN136+DN137+DN138+DN139+DN140</f>
        <v>12406408045</v>
      </c>
      <c r="DO141" s="278">
        <f>+BS141</f>
        <v>0.54619201398159922</v>
      </c>
    </row>
    <row r="142" spans="3:119" ht="15.75" thickTop="1" x14ac:dyDescent="0.25"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T142" s="54"/>
      <c r="BU142" s="54"/>
      <c r="BV142" s="54">
        <f t="shared" ref="BV142:CN142" si="189">+BV130-BV141</f>
        <v>0</v>
      </c>
      <c r="BW142" s="54">
        <f t="shared" si="189"/>
        <v>0</v>
      </c>
      <c r="BX142" s="54">
        <f t="shared" si="189"/>
        <v>0</v>
      </c>
      <c r="BY142" s="54">
        <f t="shared" si="189"/>
        <v>0</v>
      </c>
      <c r="BZ142" s="54">
        <f t="shared" si="189"/>
        <v>0</v>
      </c>
      <c r="CA142" s="54">
        <f t="shared" si="189"/>
        <v>0</v>
      </c>
      <c r="CB142" s="54">
        <f t="shared" si="189"/>
        <v>0</v>
      </c>
      <c r="CC142" s="54">
        <f t="shared" si="189"/>
        <v>0</v>
      </c>
      <c r="CD142" s="54">
        <f t="shared" si="189"/>
        <v>0</v>
      </c>
      <c r="CE142" s="54">
        <f t="shared" si="189"/>
        <v>0</v>
      </c>
      <c r="CF142" s="54">
        <f t="shared" si="189"/>
        <v>0</v>
      </c>
      <c r="CG142" s="54">
        <f t="shared" si="189"/>
        <v>0</v>
      </c>
      <c r="CH142" s="54">
        <f t="shared" si="189"/>
        <v>0</v>
      </c>
      <c r="CI142" s="54">
        <f t="shared" si="189"/>
        <v>0</v>
      </c>
      <c r="CJ142" s="54">
        <f t="shared" si="189"/>
        <v>0</v>
      </c>
      <c r="CK142" s="54">
        <f t="shared" si="189"/>
        <v>0</v>
      </c>
      <c r="CL142" s="54">
        <f t="shared" si="189"/>
        <v>0</v>
      </c>
      <c r="CM142" s="54">
        <f t="shared" si="189"/>
        <v>0</v>
      </c>
      <c r="CN142" s="54">
        <f t="shared" si="189"/>
        <v>0</v>
      </c>
      <c r="CO142" s="54"/>
      <c r="CP142" s="54">
        <f ca="1">+CP130-CP141</f>
        <v>0</v>
      </c>
      <c r="CQ142" s="54">
        <f t="shared" ref="CQ142:DI142" ca="1" si="190">+CQ130-CQ141</f>
        <v>0</v>
      </c>
      <c r="CR142" s="54">
        <f t="shared" si="190"/>
        <v>0</v>
      </c>
      <c r="CS142" s="54">
        <f t="shared" si="190"/>
        <v>0</v>
      </c>
      <c r="CT142" s="54">
        <f t="shared" si="190"/>
        <v>0</v>
      </c>
      <c r="CU142" s="54">
        <f t="shared" si="190"/>
        <v>0</v>
      </c>
      <c r="CV142" s="54">
        <f t="shared" si="190"/>
        <v>0</v>
      </c>
      <c r="CW142" s="54">
        <f t="shared" si="190"/>
        <v>0</v>
      </c>
      <c r="CX142" s="54">
        <f t="shared" si="190"/>
        <v>0</v>
      </c>
      <c r="CY142" s="54">
        <f t="shared" si="190"/>
        <v>0</v>
      </c>
      <c r="CZ142" s="54">
        <f t="shared" si="190"/>
        <v>0</v>
      </c>
      <c r="DA142" s="54">
        <f t="shared" si="190"/>
        <v>0</v>
      </c>
      <c r="DB142" s="54">
        <f t="shared" si="190"/>
        <v>0</v>
      </c>
      <c r="DC142" s="54">
        <f t="shared" si="190"/>
        <v>0</v>
      </c>
      <c r="DD142" s="54">
        <f t="shared" si="190"/>
        <v>0</v>
      </c>
      <c r="DE142" s="54">
        <f t="shared" si="190"/>
        <v>0</v>
      </c>
      <c r="DF142" s="54">
        <f t="shared" si="190"/>
        <v>0</v>
      </c>
      <c r="DG142" s="54">
        <f t="shared" si="190"/>
        <v>0</v>
      </c>
      <c r="DH142" s="54">
        <f t="shared" si="190"/>
        <v>0</v>
      </c>
      <c r="DI142" s="54">
        <f t="shared" si="190"/>
        <v>0</v>
      </c>
    </row>
    <row r="143" spans="3:119" x14ac:dyDescent="0.25">
      <c r="F143" s="54"/>
    </row>
    <row r="144" spans="3:119" x14ac:dyDescent="0.25">
      <c r="D144" s="248" t="s">
        <v>388</v>
      </c>
      <c r="E144" s="249"/>
      <c r="F144" s="249"/>
      <c r="G144" s="249"/>
      <c r="H144" s="249"/>
      <c r="I144" s="249"/>
      <c r="J144" s="249"/>
      <c r="K144" s="249"/>
      <c r="L144" s="249"/>
      <c r="M144" s="249"/>
      <c r="N144" s="249"/>
      <c r="O144" s="249"/>
      <c r="P144" s="249"/>
      <c r="Q144" s="249"/>
      <c r="R144" s="249"/>
      <c r="S144" s="249"/>
      <c r="T144" s="249"/>
      <c r="U144" s="249"/>
      <c r="V144" s="249"/>
      <c r="W144" s="249"/>
      <c r="X144" s="249"/>
      <c r="Y144" s="249"/>
      <c r="Z144" s="249"/>
      <c r="AA144" s="249"/>
      <c r="AB144" s="249"/>
      <c r="AC144" s="249"/>
      <c r="AD144" s="249"/>
      <c r="AE144" s="249"/>
      <c r="AF144" s="249"/>
      <c r="AG144" s="249"/>
      <c r="AH144" s="249"/>
      <c r="AI144" s="249"/>
      <c r="AJ144" s="249"/>
      <c r="AK144" s="249"/>
      <c r="AL144" s="249"/>
      <c r="AM144" s="249"/>
      <c r="AN144" s="249"/>
      <c r="AO144" s="249"/>
      <c r="AP144" s="249"/>
      <c r="AQ144" s="249"/>
      <c r="AR144" s="249"/>
      <c r="AS144" s="249"/>
      <c r="AT144" s="249"/>
      <c r="AU144" s="249"/>
      <c r="AV144" s="249"/>
      <c r="AW144" s="249"/>
      <c r="AX144" s="249"/>
      <c r="AY144" s="250"/>
      <c r="BT144" s="54"/>
    </row>
    <row r="145" spans="4:72" ht="24.75" x14ac:dyDescent="0.25">
      <c r="D145" s="251" t="s">
        <v>5</v>
      </c>
      <c r="E145" s="252"/>
      <c r="F145" s="253"/>
      <c r="G145" s="254" t="s">
        <v>386</v>
      </c>
      <c r="H145" s="255"/>
      <c r="I145" s="255"/>
      <c r="J145" s="255"/>
      <c r="K145" s="255"/>
      <c r="L145" s="255"/>
      <c r="M145" s="255"/>
      <c r="N145" s="255"/>
      <c r="O145" s="255"/>
      <c r="P145" s="255"/>
      <c r="Q145" s="255"/>
      <c r="R145" s="255"/>
      <c r="S145" s="255"/>
      <c r="T145" s="255"/>
      <c r="U145" s="255"/>
      <c r="V145" s="255"/>
      <c r="W145" s="255"/>
      <c r="X145" s="255"/>
      <c r="Y145" s="255"/>
      <c r="Z145" s="255"/>
      <c r="AA145" s="255"/>
      <c r="AB145" s="254" t="s">
        <v>381</v>
      </c>
      <c r="AC145" s="254" t="s">
        <v>387</v>
      </c>
      <c r="AD145" s="254" t="s">
        <v>382</v>
      </c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256" t="s">
        <v>383</v>
      </c>
      <c r="AY145" s="257"/>
      <c r="BT145" s="240"/>
    </row>
    <row r="146" spans="4:72" x14ac:dyDescent="0.25">
      <c r="D146" s="284" t="s">
        <v>39</v>
      </c>
      <c r="E146" s="285"/>
      <c r="F146" s="286"/>
      <c r="G146" s="258">
        <v>74529260</v>
      </c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9">
        <v>3.61</v>
      </c>
      <c r="AC146" s="259">
        <v>762677261</v>
      </c>
      <c r="AD146" s="260">
        <v>616176877</v>
      </c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271">
        <f>+BS20</f>
        <v>0.53056511578448529</v>
      </c>
      <c r="AY146" s="261"/>
    </row>
    <row r="147" spans="4:72" x14ac:dyDescent="0.25">
      <c r="D147" s="284" t="s">
        <v>87</v>
      </c>
      <c r="E147" s="285"/>
      <c r="F147" s="286"/>
      <c r="G147" s="258">
        <v>556202940</v>
      </c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9">
        <v>0.78</v>
      </c>
      <c r="AC147" s="259">
        <v>3072278854</v>
      </c>
      <c r="AD147" s="260">
        <v>2231159345</v>
      </c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271">
        <f>+BS58</f>
        <v>0.58793228114662577</v>
      </c>
      <c r="AY147" s="261"/>
    </row>
    <row r="148" spans="4:72" x14ac:dyDescent="0.25">
      <c r="D148" s="284" t="s">
        <v>179</v>
      </c>
      <c r="E148" s="285"/>
      <c r="F148" s="286"/>
      <c r="G148" s="258">
        <v>100283711</v>
      </c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9">
        <v>3.43</v>
      </c>
      <c r="AC148" s="259">
        <v>1240222021</v>
      </c>
      <c r="AD148" s="260">
        <v>922449293</v>
      </c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271">
        <f>+BS91</f>
        <v>0.73669382449555199</v>
      </c>
      <c r="AY148" s="261"/>
      <c r="BT148" s="240"/>
    </row>
    <row r="149" spans="4:72" x14ac:dyDescent="0.25">
      <c r="D149" s="284" t="s">
        <v>384</v>
      </c>
      <c r="E149" s="285"/>
      <c r="F149" s="286"/>
      <c r="G149" s="258">
        <v>128726328</v>
      </c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9">
        <v>2.52</v>
      </c>
      <c r="AC149" s="259">
        <v>2167130956</v>
      </c>
      <c r="AD149" s="260">
        <v>1932480606</v>
      </c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271">
        <f>+BS108</f>
        <v>0.83144427851668734</v>
      </c>
      <c r="AY149" s="261"/>
    </row>
    <row r="150" spans="4:72" x14ac:dyDescent="0.25">
      <c r="D150" s="284" t="s">
        <v>303</v>
      </c>
      <c r="E150" s="285"/>
      <c r="F150" s="286"/>
      <c r="G150" s="262">
        <v>1333810764</v>
      </c>
      <c r="H150" s="263"/>
      <c r="I150" s="263"/>
      <c r="J150" s="263"/>
      <c r="K150" s="263"/>
      <c r="L150" s="263"/>
      <c r="M150" s="263"/>
      <c r="N150" s="263"/>
      <c r="O150" s="263"/>
      <c r="P150" s="263"/>
      <c r="Q150" s="263"/>
      <c r="R150" s="263"/>
      <c r="S150" s="263"/>
      <c r="T150" s="263"/>
      <c r="U150" s="263"/>
      <c r="V150" s="263"/>
      <c r="W150" s="263"/>
      <c r="X150" s="263"/>
      <c r="Y150" s="263"/>
      <c r="Z150" s="263"/>
      <c r="AA150" s="263"/>
      <c r="AB150" s="264">
        <v>12.45</v>
      </c>
      <c r="AC150" s="259">
        <v>5164098953</v>
      </c>
      <c r="AD150" s="265">
        <v>3055104832</v>
      </c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271">
        <f>+BS128</f>
        <v>0.43907323584871344</v>
      </c>
      <c r="AY150" s="261"/>
    </row>
    <row r="151" spans="4:72" ht="15.75" thickBot="1" x14ac:dyDescent="0.3">
      <c r="D151" s="287" t="s">
        <v>385</v>
      </c>
      <c r="E151" s="288"/>
      <c r="F151" s="289"/>
      <c r="G151" s="266">
        <f>SUM(G146:G150)</f>
        <v>2193553003</v>
      </c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  <c r="AA151" s="140"/>
      <c r="AB151" s="267">
        <v>8.32</v>
      </c>
      <c r="AC151" s="268">
        <f>AC146+AC147+AC148+AC149+AC150</f>
        <v>12406408045</v>
      </c>
      <c r="AD151" s="269">
        <f>AD146+AD147+AD148+AD149+AD150</f>
        <v>8757370953</v>
      </c>
      <c r="AE151" s="270"/>
      <c r="AF151" s="270"/>
      <c r="AG151" s="270"/>
      <c r="AH151" s="270"/>
      <c r="AI151" s="270"/>
      <c r="AJ151" s="270"/>
      <c r="AK151" s="270"/>
      <c r="AL151" s="270"/>
      <c r="AM151" s="270"/>
      <c r="AN151" s="270"/>
      <c r="AO151" s="270"/>
      <c r="AP151" s="270"/>
      <c r="AQ151" s="270"/>
      <c r="AR151" s="270"/>
      <c r="AS151" s="270"/>
      <c r="AT151" s="270"/>
      <c r="AU151" s="270"/>
      <c r="AV151" s="270"/>
      <c r="AW151" s="270"/>
      <c r="AX151" s="271">
        <f>+BS141</f>
        <v>0.54619201398159922</v>
      </c>
      <c r="AY151" s="261"/>
    </row>
    <row r="152" spans="4:72" ht="15.75" thickTop="1" x14ac:dyDescent="0.25"/>
  </sheetData>
  <mergeCells count="102">
    <mergeCell ref="DK130:DL130"/>
    <mergeCell ref="DK132:DL132"/>
    <mergeCell ref="DK134:DL134"/>
    <mergeCell ref="DK138:DL138"/>
    <mergeCell ref="DK141:DL141"/>
    <mergeCell ref="AX149:AY149"/>
    <mergeCell ref="AX150:AY150"/>
    <mergeCell ref="AX151:AY151"/>
    <mergeCell ref="D149:F149"/>
    <mergeCell ref="D150:F150"/>
    <mergeCell ref="D151:F151"/>
    <mergeCell ref="AX145:AY145"/>
    <mergeCell ref="AX146:AY146"/>
    <mergeCell ref="AX147:AY147"/>
    <mergeCell ref="AX148:AY148"/>
    <mergeCell ref="D146:F146"/>
    <mergeCell ref="D147:F147"/>
    <mergeCell ref="D148:F148"/>
    <mergeCell ref="A122:A127"/>
    <mergeCell ref="B122:B124"/>
    <mergeCell ref="B128:D128"/>
    <mergeCell ref="C130:E130"/>
    <mergeCell ref="C141:D141"/>
    <mergeCell ref="D144:AY144"/>
    <mergeCell ref="B91:F91"/>
    <mergeCell ref="A93:A107"/>
    <mergeCell ref="B93:B100"/>
    <mergeCell ref="B104:B106"/>
    <mergeCell ref="B108:F10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A48:A57"/>
    <mergeCell ref="B48:B49"/>
    <mergeCell ref="B50:B51"/>
    <mergeCell ref="B52:B57"/>
    <mergeCell ref="B58:E58"/>
    <mergeCell ref="A59:A70"/>
    <mergeCell ref="B59:B61"/>
    <mergeCell ref="B63:B70"/>
    <mergeCell ref="B24:B32"/>
    <mergeCell ref="A33:A47"/>
    <mergeCell ref="B33:B36"/>
    <mergeCell ref="B37:B40"/>
    <mergeCell ref="B41:B43"/>
    <mergeCell ref="B44:B47"/>
    <mergeCell ref="B4:B6"/>
    <mergeCell ref="B8:B12"/>
    <mergeCell ref="B14:B16"/>
    <mergeCell ref="B18:B19"/>
    <mergeCell ref="B20:E20"/>
    <mergeCell ref="B21:B23"/>
    <mergeCell ref="CO1:CP2"/>
    <mergeCell ref="A2:A3"/>
    <mergeCell ref="B2:B3"/>
    <mergeCell ref="C2:C3"/>
    <mergeCell ref="D2:D3"/>
    <mergeCell ref="E2:E3"/>
    <mergeCell ref="F2:F3"/>
    <mergeCell ref="AR1:AS2"/>
    <mergeCell ref="AT1:AU2"/>
    <mergeCell ref="AV1:AW2"/>
    <mergeCell ref="AX1:AY2"/>
    <mergeCell ref="AZ1:BA2"/>
    <mergeCell ref="BS1:BT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093 DEL 16 DE MAYO DE
 DE 2016</oddHeader>
    <oddFooter>&amp;LUNIDAD DE PLANEAMIENTO ECONÓMICO Y ADMINISTRATIVO&amp;COFICINA DE PLANEACIÓN&amp;RPágina &amp;P de &amp;N</oddFooter>
  </headerFooter>
  <rowBreaks count="1" manualBreakCount="1">
    <brk id="2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ACCION AGOSTO</vt:lpstr>
      <vt:lpstr>P. ACCION AGOSTO (2)</vt:lpstr>
      <vt:lpstr>P. ACCION AGOSTO CONSOLIDADO</vt:lpstr>
      <vt:lpstr>'P. ACCION AGOSTO'!Títulos_a_imprimir</vt:lpstr>
      <vt:lpstr>'P. ACCION AGOSTO (2)'!Títulos_a_imprimir</vt:lpstr>
      <vt:lpstr>'P. ACCION AGOSTO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2016-09-05T21:41:35Z</dcterms:created>
  <dcterms:modified xsi:type="dcterms:W3CDTF">2016-09-20T20:42:47Z</dcterms:modified>
</cp:coreProperties>
</file>